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trlProps/ctrlProp1.xml" ContentType="application/vnd.ms-excel.controlproperti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drawings/drawing4.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Winston\EC\Excel Templates\"/>
    </mc:Choice>
  </mc:AlternateContent>
  <xr:revisionPtr revIDLastSave="0" documentId="13_ncr:1_{530EEA2F-B1FB-4327-8D42-0304364BF7DC}" xr6:coauthVersionLast="47" xr6:coauthVersionMax="47" xr10:uidLastSave="{00000000-0000-0000-0000-000000000000}"/>
  <bookViews>
    <workbookView xWindow="-120" yWindow="-120" windowWidth="20730" windowHeight="11160" xr2:uid="{8DEBEDEE-4A1A-463F-B7BE-18BC6DCA32A7}"/>
  </bookViews>
  <sheets>
    <sheet name="How to Use the Template" sheetId="7" r:id="rId1"/>
    <sheet name="Budget vs Actual" sheetId="1" r:id="rId2"/>
    <sheet name="Budget Analysis" sheetId="2" r:id="rId3"/>
    <sheet name="Personal Value" sheetId="3" r:id="rId4"/>
    <sheet name="Expence Analysis" sheetId="6" r:id="rId5"/>
    <sheet name="Loan Calculation" sheetId="4" r:id="rId6"/>
  </sheets>
  <externalReferences>
    <externalReference r:id="rId7"/>
  </externalReferences>
  <definedNames>
    <definedName name="_xlcn.WorksheetConnection_SmartPersonalBudget2.xlsxExpence_Table1" hidden="1">Expence_Table[]</definedName>
    <definedName name="Down_Pymt">'Loan Calculation'!$C$6</definedName>
    <definedName name="Down_Pymt.">'Loan Calculation'!$C$6</definedName>
    <definedName name="Loan_Amount">'Loan Calculation'!$C$7</definedName>
    <definedName name="Monthly_Payments">'Loan Calculation'!$E$5</definedName>
    <definedName name="Price">'Loan Calculation'!$C$5</definedName>
    <definedName name="Rate">'Loan Calculation'!$E$3</definedName>
    <definedName name="Slicer_Exenditure">#N/A</definedName>
    <definedName name="Term">'Loan Calculation'!$E$4</definedName>
    <definedName name="Total_Cost">'Loan Calculation'!$E$7</definedName>
    <definedName name="Total_Interest">'Loan Calculation'!$E$6</definedName>
  </definedNames>
  <calcPr calcId="191029"/>
  <pivotCaches>
    <pivotCache cacheId="0" r:id="rId8"/>
    <pivotCache cacheId="1" r:id="rId9"/>
  </pivotCaches>
  <extLst>
    <ext xmlns:x14="http://schemas.microsoft.com/office/spreadsheetml/2009/9/main" uri="{BBE1A952-AA13-448e-AADC-164F8A28A991}">
      <x14:slicerCaches>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Expence_Table" name="Expence_Table" connection="WorksheetConnection_Smart-Personal-Budget-2.xlsx!Expence_Tabl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4" l="1"/>
  <c r="K20" i="4"/>
  <c r="I18" i="4"/>
  <c r="I17" i="4"/>
  <c r="H18" i="4" s="1"/>
  <c r="I16" i="4"/>
  <c r="H17" i="4" s="1"/>
  <c r="I15" i="4"/>
  <c r="H16" i="4" s="1"/>
  <c r="I14" i="4"/>
  <c r="H15" i="4" s="1"/>
  <c r="I13" i="4"/>
  <c r="H14" i="4" s="1"/>
  <c r="I12" i="4"/>
  <c r="H13" i="4" s="1"/>
  <c r="I11" i="4"/>
  <c r="H12" i="4" s="1"/>
  <c r="I10" i="4"/>
  <c r="H11" i="4" s="1"/>
  <c r="I9" i="4"/>
  <c r="H10" i="4" s="1"/>
  <c r="I8" i="4"/>
  <c r="H9" i="4" s="1"/>
  <c r="I7" i="4"/>
  <c r="H8" i="4" s="1"/>
  <c r="H7" i="4"/>
  <c r="K7" i="4" s="1"/>
  <c r="C7" i="4"/>
  <c r="I6" i="4"/>
  <c r="I5" i="4"/>
  <c r="H6" i="4" s="1"/>
  <c r="E5" i="4"/>
  <c r="C10" i="4" s="1"/>
  <c r="I4" i="4"/>
  <c r="H5" i="4" s="1"/>
  <c r="H4" i="4"/>
  <c r="C3" i="4"/>
  <c r="K5" i="4" l="1"/>
  <c r="J5" i="4"/>
  <c r="K10" i="4"/>
  <c r="J10" i="4"/>
  <c r="K13" i="4"/>
  <c r="J13" i="4"/>
  <c r="K17" i="4"/>
  <c r="J17" i="4"/>
  <c r="K11" i="4"/>
  <c r="J11" i="4"/>
  <c r="K14" i="4"/>
  <c r="J14" i="4"/>
  <c r="K18" i="4"/>
  <c r="J18" i="4"/>
  <c r="J6" i="4"/>
  <c r="K6" i="4"/>
  <c r="K8" i="4"/>
  <c r="J8" i="4"/>
  <c r="K15" i="4"/>
  <c r="J15" i="4"/>
  <c r="K9" i="4"/>
  <c r="J9" i="4"/>
  <c r="K12" i="4"/>
  <c r="J12" i="4"/>
  <c r="K16" i="4"/>
  <c r="J16" i="4"/>
  <c r="E6" i="4"/>
  <c r="J4" i="4"/>
  <c r="J19" i="4" s="1"/>
  <c r="J7" i="4"/>
  <c r="E7" i="4" l="1"/>
  <c r="E10" i="4" s="1"/>
  <c r="D10" i="4"/>
  <c r="K4" i="4"/>
  <c r="K19" i="4" s="1"/>
  <c r="K21" i="4" s="1"/>
  <c r="AA10" i="1" l="1"/>
  <c r="AA11" i="1"/>
  <c r="AA12" i="1"/>
  <c r="AA13" i="1"/>
  <c r="AA14" i="1"/>
  <c r="AA15" i="1"/>
  <c r="AA16" i="1"/>
  <c r="AA17" i="1"/>
  <c r="AA18" i="1"/>
  <c r="AA19" i="1"/>
  <c r="AA20" i="1"/>
  <c r="AA9" i="1"/>
  <c r="Z10" i="1"/>
  <c r="Z11" i="1"/>
  <c r="Z12" i="1"/>
  <c r="Z13" i="1"/>
  <c r="Z14" i="1"/>
  <c r="Z15" i="1"/>
  <c r="Z16" i="1"/>
  <c r="Z17" i="1"/>
  <c r="Z18" i="1"/>
  <c r="Z19" i="1"/>
  <c r="Z20" i="1"/>
  <c r="Z9" i="1"/>
  <c r="E18" i="3"/>
  <c r="D17" i="3"/>
  <c r="E17" i="3" s="1"/>
  <c r="E19" i="3" s="1"/>
  <c r="K11" i="3"/>
  <c r="K10" i="3"/>
  <c r="J10" i="3"/>
  <c r="M4" i="3"/>
  <c r="M5" i="3"/>
  <c r="M6" i="3"/>
  <c r="M7" i="3"/>
  <c r="M3" i="3"/>
  <c r="L4" i="3"/>
  <c r="L5" i="3"/>
  <c r="L6" i="3"/>
  <c r="L7" i="3"/>
  <c r="L3" i="3"/>
  <c r="H3" i="3"/>
  <c r="H2" i="3"/>
  <c r="E4" i="3"/>
  <c r="E5" i="3"/>
  <c r="E6" i="3"/>
  <c r="E7" i="3"/>
  <c r="E8" i="3"/>
  <c r="E9" i="3"/>
  <c r="E10" i="3"/>
  <c r="E11" i="3"/>
  <c r="E12" i="3"/>
  <c r="E13" i="3"/>
  <c r="E14" i="3"/>
  <c r="E3" i="3"/>
  <c r="C14" i="3"/>
  <c r="C13" i="3"/>
  <c r="C12" i="3"/>
  <c r="C11" i="3"/>
  <c r="C10" i="3"/>
  <c r="C9" i="3"/>
  <c r="C8" i="3"/>
  <c r="C7" i="3"/>
  <c r="C6" i="3"/>
  <c r="C5" i="3"/>
  <c r="C4" i="3"/>
  <c r="C3" i="3"/>
  <c r="B14" i="3"/>
  <c r="D14" i="3" s="1"/>
  <c r="B13" i="3"/>
  <c r="D13" i="3" s="1"/>
  <c r="B12" i="3"/>
  <c r="D12" i="3" s="1"/>
  <c r="B11" i="3"/>
  <c r="D11" i="3" s="1"/>
  <c r="B10" i="3"/>
  <c r="D10" i="3" s="1"/>
  <c r="B9" i="3"/>
  <c r="D9" i="3" s="1"/>
  <c r="B8" i="3"/>
  <c r="D8" i="3" s="1"/>
  <c r="B7" i="3"/>
  <c r="D7" i="3" s="1"/>
  <c r="B6" i="3"/>
  <c r="D6" i="3" s="1"/>
  <c r="B5" i="3"/>
  <c r="D5" i="3" s="1"/>
  <c r="B4" i="3"/>
  <c r="D4" i="3" s="1"/>
  <c r="B3" i="3"/>
  <c r="D3" i="3" s="1"/>
  <c r="D18" i="2"/>
  <c r="D19" i="2"/>
  <c r="D20" i="2"/>
  <c r="D21" i="2"/>
  <c r="D22" i="2"/>
  <c r="D23" i="2"/>
  <c r="D24" i="2"/>
  <c r="D25" i="2"/>
  <c r="D26" i="2"/>
  <c r="D27" i="2"/>
  <c r="D28" i="2"/>
  <c r="D29" i="2"/>
  <c r="C29" i="2"/>
  <c r="C28" i="2"/>
  <c r="C27" i="2"/>
  <c r="C26" i="2"/>
  <c r="C25" i="2"/>
  <c r="C24" i="2"/>
  <c r="C23" i="2"/>
  <c r="C22" i="2"/>
  <c r="C21" i="2"/>
  <c r="C20" i="2"/>
  <c r="C19" i="2"/>
  <c r="C18" i="2"/>
  <c r="P3" i="2" s="1"/>
  <c r="D4" i="2"/>
  <c r="D5" i="2"/>
  <c r="D6" i="2"/>
  <c r="D7" i="2"/>
  <c r="D8" i="2"/>
  <c r="D9" i="2"/>
  <c r="D10" i="2"/>
  <c r="D11" i="2"/>
  <c r="D12" i="2"/>
  <c r="D13" i="2"/>
  <c r="D14" i="2"/>
  <c r="C14" i="2"/>
  <c r="C13" i="2"/>
  <c r="C12" i="2"/>
  <c r="C11" i="2"/>
  <c r="C10" i="2"/>
  <c r="C9" i="2"/>
  <c r="C8" i="2"/>
  <c r="C7" i="2"/>
  <c r="C6" i="2"/>
  <c r="C5" i="2"/>
  <c r="C4" i="2"/>
  <c r="D3" i="2"/>
  <c r="C3" i="2"/>
  <c r="G18" i="3" l="1"/>
  <c r="G19" i="3" s="1"/>
  <c r="P11" i="2"/>
  <c r="P18" i="2" s="1"/>
  <c r="Q14" i="2"/>
  <c r="Q7" i="2"/>
  <c r="Q15" i="2"/>
  <c r="Q13" i="2"/>
  <c r="Q11" i="2"/>
  <c r="Q5" i="2"/>
  <c r="Q6" i="2"/>
  <c r="Q3" i="2"/>
  <c r="Q4" i="2" s="1"/>
  <c r="Q18" i="2" l="1"/>
  <c r="Q19" i="2" s="1"/>
  <c r="Q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4" authorId="0" shapeId="0" xr:uid="{B4EAD327-CDC6-49CC-A497-BFA5846E1161}">
      <text>
        <r>
          <rPr>
            <b/>
            <sz val="9"/>
            <color indexed="81"/>
            <rFont val="Tahoma"/>
            <family val="2"/>
          </rPr>
          <t>Admin:</t>
        </r>
        <r>
          <rPr>
            <sz val="9"/>
            <color indexed="81"/>
            <rFont val="Tahoma"/>
            <family val="2"/>
          </rPr>
          <t xml:space="preserve">
Enter Amounts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68EEFE5-709A-4F66-9D18-C9EA0EB9CD7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DE4426CA-7BDC-48DF-B696-B7C9BCAEC44E}" name="WorksheetConnection_Smart-Personal-Budget-2.xlsx!Expence_Table" type="102" refreshedVersion="8" minRefreshableVersion="5">
    <extLst>
      <ext xmlns:x15="http://schemas.microsoft.com/office/spreadsheetml/2010/11/main" uri="{DE250136-89BD-433C-8126-D09CA5730AF9}">
        <x15:connection id="Expence_Table" autoDelete="1">
          <x15:rangePr sourceName="_xlcn.WorksheetConnection_SmartPersonalBudget2.xlsxExpence_Table1"/>
        </x15:connection>
      </ext>
    </extLst>
  </connection>
</connections>
</file>

<file path=xl/sharedStrings.xml><?xml version="1.0" encoding="utf-8"?>
<sst xmlns="http://schemas.openxmlformats.org/spreadsheetml/2006/main" count="252" uniqueCount="144">
  <si>
    <t>Income</t>
  </si>
  <si>
    <t>Month</t>
  </si>
  <si>
    <t>B-January</t>
  </si>
  <si>
    <t>A-January</t>
  </si>
  <si>
    <t>January</t>
  </si>
  <si>
    <t>February</t>
  </si>
  <si>
    <t>March</t>
  </si>
  <si>
    <t>April</t>
  </si>
  <si>
    <t>May</t>
  </si>
  <si>
    <t>June</t>
  </si>
  <si>
    <t>July</t>
  </si>
  <si>
    <t>August</t>
  </si>
  <si>
    <t>September</t>
  </si>
  <si>
    <t>October</t>
  </si>
  <si>
    <t>November</t>
  </si>
  <si>
    <t>December</t>
  </si>
  <si>
    <t>Budget</t>
  </si>
  <si>
    <t>Actual</t>
  </si>
  <si>
    <t>Salary</t>
  </si>
  <si>
    <t>B-February</t>
  </si>
  <si>
    <t>A-February</t>
  </si>
  <si>
    <t>B-March</t>
  </si>
  <si>
    <t>A-March</t>
  </si>
  <si>
    <t>B-April</t>
  </si>
  <si>
    <t>A-April</t>
  </si>
  <si>
    <t>B-May</t>
  </si>
  <si>
    <t>A-May</t>
  </si>
  <si>
    <t>B-June</t>
  </si>
  <si>
    <t>A-June</t>
  </si>
  <si>
    <t>B-July</t>
  </si>
  <si>
    <t>A-July</t>
  </si>
  <si>
    <t>B-August</t>
  </si>
  <si>
    <t>A-August</t>
  </si>
  <si>
    <t>B-September</t>
  </si>
  <si>
    <t>A-September</t>
  </si>
  <si>
    <t>B-October</t>
  </si>
  <si>
    <t>A-October</t>
  </si>
  <si>
    <t>B-November</t>
  </si>
  <si>
    <t>A-November</t>
  </si>
  <si>
    <t>B-December</t>
  </si>
  <si>
    <t>A-December</t>
  </si>
  <si>
    <t>On the Side</t>
  </si>
  <si>
    <t>Exenditure</t>
  </si>
  <si>
    <t>Rent</t>
  </si>
  <si>
    <t>Data</t>
  </si>
  <si>
    <t>Airtime</t>
  </si>
  <si>
    <t>DSTV</t>
  </si>
  <si>
    <t>Net flix</t>
  </si>
  <si>
    <t>Entertainment</t>
  </si>
  <si>
    <t>School Fees</t>
  </si>
  <si>
    <t>loan</t>
  </si>
  <si>
    <t>Food</t>
  </si>
  <si>
    <t>Electicity</t>
  </si>
  <si>
    <t>Expences</t>
  </si>
  <si>
    <t>Trend</t>
  </si>
  <si>
    <t>Total Income</t>
  </si>
  <si>
    <t>Income Variance</t>
  </si>
  <si>
    <t>Analysis KPI s</t>
  </si>
  <si>
    <t>Highest Month</t>
  </si>
  <si>
    <t>Lowest Month</t>
  </si>
  <si>
    <t>Average Income</t>
  </si>
  <si>
    <t>Income Analysis</t>
  </si>
  <si>
    <t>Expence Analysis</t>
  </si>
  <si>
    <t>Total Expences</t>
  </si>
  <si>
    <t>Expence Variance</t>
  </si>
  <si>
    <t>Average expence</t>
  </si>
  <si>
    <t>Excess</t>
  </si>
  <si>
    <t>Difference</t>
  </si>
  <si>
    <t>B-Total</t>
  </si>
  <si>
    <t>A-Total</t>
  </si>
  <si>
    <t>Utilities</t>
  </si>
  <si>
    <t>clothes</t>
  </si>
  <si>
    <t>Restaurant</t>
  </si>
  <si>
    <t>Expence</t>
  </si>
  <si>
    <t>Available/Not Realized</t>
  </si>
  <si>
    <t>Available</t>
  </si>
  <si>
    <t>Not Realized</t>
  </si>
  <si>
    <t>Annual Objectives</t>
  </si>
  <si>
    <t>Value</t>
  </si>
  <si>
    <t>% Available</t>
  </si>
  <si>
    <t>Ranking</t>
  </si>
  <si>
    <t>Car Purchase</t>
  </si>
  <si>
    <t>Land Purchase</t>
  </si>
  <si>
    <t>Building</t>
  </si>
  <si>
    <t>Sofas</t>
  </si>
  <si>
    <t>Laptop</t>
  </si>
  <si>
    <t xml:space="preserve">Based on Currant Analysis you can buy </t>
  </si>
  <si>
    <t>Amount Left</t>
  </si>
  <si>
    <t>Savings Plan</t>
  </si>
  <si>
    <t>Financing Objectives</t>
  </si>
  <si>
    <t>Borrow (Loans etc)</t>
  </si>
  <si>
    <t>Amount Available</t>
  </si>
  <si>
    <t>Actual Sumary for Decision Making</t>
  </si>
  <si>
    <t>Row Labels</t>
  </si>
  <si>
    <t>Grand Total</t>
  </si>
  <si>
    <t>Sum of B-Total</t>
  </si>
  <si>
    <t>Sum of A-Total</t>
  </si>
  <si>
    <t>Actual_Over_Budget Status</t>
  </si>
  <si>
    <t>EXPENCES</t>
  </si>
  <si>
    <t>Expence Ranking</t>
  </si>
  <si>
    <t>Actual/Budget</t>
  </si>
  <si>
    <t>% Total Expences</t>
  </si>
  <si>
    <t>Mortgage Payment calculator</t>
  </si>
  <si>
    <t>Amortization Schedule</t>
  </si>
  <si>
    <t>Date</t>
  </si>
  <si>
    <t>Rate</t>
  </si>
  <si>
    <t>Year</t>
  </si>
  <si>
    <t>Beginning Balance</t>
  </si>
  <si>
    <t>Ending Balance</t>
  </si>
  <si>
    <t>Paid on Principal</t>
  </si>
  <si>
    <t>Interest Paid</t>
  </si>
  <si>
    <t>Item</t>
  </si>
  <si>
    <t>Mortgage</t>
  </si>
  <si>
    <t>Term</t>
  </si>
  <si>
    <t>Price</t>
  </si>
  <si>
    <t>Monthly Payment</t>
  </si>
  <si>
    <t>Down Payment</t>
  </si>
  <si>
    <t>Total Interest</t>
  </si>
  <si>
    <t>Loan Amount</t>
  </si>
  <si>
    <t>Total Cost</t>
  </si>
  <si>
    <t>Varying Interest Rate Schedule</t>
  </si>
  <si>
    <t>SubTotal</t>
  </si>
  <si>
    <t>Down Paymt</t>
  </si>
  <si>
    <t>Budget vs Actual</t>
  </si>
  <si>
    <t>This is where you enter your budget estimated amount</t>
  </si>
  <si>
    <t>This is where you enter your actual amounts</t>
  </si>
  <si>
    <t>Section</t>
  </si>
  <si>
    <t>Notes</t>
  </si>
  <si>
    <t>Description</t>
  </si>
  <si>
    <t>Expenditure</t>
  </si>
  <si>
    <t>Budget Analysis</t>
  </si>
  <si>
    <t>N/A</t>
  </si>
  <si>
    <t xml:space="preserve">Nothing to enter it does the analysis on its own </t>
  </si>
  <si>
    <t>Personal Value</t>
  </si>
  <si>
    <t>Savings Plan
Annual Objectives</t>
  </si>
  <si>
    <t>Enter your personal targets values and substitute what is already there</t>
  </si>
  <si>
    <t>Enter amounts</t>
  </si>
  <si>
    <t>Select term</t>
  </si>
  <si>
    <t>Select rates</t>
  </si>
  <si>
    <t>Loan Calculation</t>
  </si>
  <si>
    <t>Select values</t>
  </si>
  <si>
    <t>Enter your income amounts as you require them</t>
  </si>
  <si>
    <t>Enter your expense amounts as anticipated and actuals</t>
  </si>
  <si>
    <t>Expense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</si>
</sst>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
  </numFmts>
  <fonts count="2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b/>
      <sz val="16"/>
      <color theme="1"/>
      <name val="Aptos Narrow"/>
      <family val="2"/>
      <scheme val="minor"/>
    </font>
    <font>
      <sz val="14"/>
      <color theme="1"/>
      <name val="Aptos Narrow"/>
      <family val="2"/>
      <scheme val="minor"/>
    </font>
    <font>
      <sz val="16"/>
      <color theme="1"/>
      <name val="Aptos Narrow"/>
      <family val="2"/>
      <scheme val="minor"/>
    </font>
    <font>
      <b/>
      <sz val="14"/>
      <color theme="1"/>
      <name val="Aptos Narrow"/>
      <family val="2"/>
      <scheme val="minor"/>
    </font>
    <font>
      <sz val="11"/>
      <color theme="0"/>
      <name val="Aptos Narrow"/>
      <family val="2"/>
      <scheme val="minor"/>
    </font>
    <font>
      <b/>
      <sz val="20"/>
      <color theme="1"/>
      <name val="Aptos Narrow"/>
      <family val="2"/>
      <scheme val="minor"/>
    </font>
    <font>
      <b/>
      <u/>
      <sz val="14"/>
      <color theme="1"/>
      <name val="Aptos Narrow"/>
      <family val="2"/>
      <scheme val="minor"/>
    </font>
    <font>
      <b/>
      <sz val="12"/>
      <color theme="1"/>
      <name val="Aptos Narrow"/>
      <family val="2"/>
      <scheme val="minor"/>
    </font>
    <font>
      <sz val="11"/>
      <color theme="2"/>
      <name val="Aptos Narrow"/>
      <family val="2"/>
      <scheme val="minor"/>
    </font>
    <font>
      <b/>
      <sz val="22"/>
      <color theme="1"/>
      <name val="Aptos Narrow"/>
      <family val="2"/>
      <scheme val="minor"/>
    </font>
    <font>
      <b/>
      <sz val="18"/>
      <color theme="1"/>
      <name val="Aptos Narrow"/>
      <family val="2"/>
      <scheme val="minor"/>
    </font>
    <font>
      <b/>
      <u/>
      <sz val="14"/>
      <color theme="0"/>
      <name val="Aptos Narrow"/>
      <family val="2"/>
      <scheme val="minor"/>
    </font>
    <font>
      <sz val="16"/>
      <color theme="0"/>
      <name val="Aptos Narrow"/>
      <family val="2"/>
      <scheme val="minor"/>
    </font>
    <font>
      <sz val="11"/>
      <color rgb="FF3F3F76"/>
      <name val="Aptos Narrow"/>
      <family val="2"/>
      <scheme val="minor"/>
    </font>
    <font>
      <b/>
      <sz val="11"/>
      <color rgb="FF3F3F3F"/>
      <name val="Aptos Narrow"/>
      <family val="2"/>
      <scheme val="minor"/>
    </font>
    <font>
      <sz val="9"/>
      <color indexed="81"/>
      <name val="Tahoma"/>
      <family val="2"/>
    </font>
    <font>
      <b/>
      <sz val="9"/>
      <color indexed="81"/>
      <name val="Tahoma"/>
      <family val="2"/>
    </font>
  </fonts>
  <fills count="2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6" tint="-0.249977111117893"/>
        <bgColor indexed="64"/>
      </patternFill>
    </fill>
    <fill>
      <patternFill patternType="solid">
        <fgColor theme="1"/>
        <bgColor indexed="64"/>
      </patternFill>
    </fill>
    <fill>
      <patternFill patternType="solid">
        <fgColor theme="3" tint="0.749992370372631"/>
        <bgColor indexed="64"/>
      </patternFill>
    </fill>
    <fill>
      <patternFill patternType="solid">
        <fgColor theme="0"/>
        <bgColor indexed="64"/>
      </patternFill>
    </fill>
    <fill>
      <patternFill patternType="solid">
        <fgColor rgb="FFFFC000"/>
        <bgColor theme="4" tint="0.79998168889431442"/>
      </patternFill>
    </fill>
    <fill>
      <patternFill patternType="solid">
        <fgColor rgb="FFFFC000"/>
        <bgColor indexed="64"/>
      </patternFill>
    </fill>
    <fill>
      <patternFill patternType="solid">
        <fgColor theme="8"/>
      </patternFill>
    </fill>
    <fill>
      <patternFill patternType="solid">
        <fgColor them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9" tint="-0.499984740745262"/>
        <bgColor indexed="64"/>
      </patternFill>
    </fill>
    <fill>
      <patternFill patternType="solid">
        <fgColor rgb="FFFFCC99"/>
      </patternFill>
    </fill>
    <fill>
      <patternFill patternType="solid">
        <fgColor rgb="FFF2F2F2"/>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s>
  <borders count="54">
    <border>
      <left/>
      <right/>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1"/>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theme="4" tint="0.39997558519241921"/>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style="thin">
        <color theme="4" tint="-0.249977111117893"/>
      </right>
      <top style="medium">
        <color theme="4" tint="-0.249977111117893"/>
      </top>
      <bottom style="medium">
        <color theme="4" tint="-0.249977111117893"/>
      </bottom>
      <diagonal/>
    </border>
    <border>
      <left style="thin">
        <color theme="4" tint="-0.249977111117893"/>
      </left>
      <right style="thin">
        <color theme="4" tint="-0.249977111117893"/>
      </right>
      <top style="medium">
        <color theme="4" tint="-0.249977111117893"/>
      </top>
      <bottom style="medium">
        <color theme="4" tint="-0.249977111117893"/>
      </bottom>
      <diagonal/>
    </border>
    <border>
      <left style="thin">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top style="medium">
        <color theme="4" tint="-0.249977111117893"/>
      </top>
      <bottom/>
      <diagonal/>
    </border>
    <border>
      <left style="thin">
        <color theme="4" tint="-0.249977111117893"/>
      </left>
      <right style="thin">
        <color theme="4" tint="-0.249977111117893"/>
      </right>
      <top/>
      <bottom style="thin">
        <color theme="4" tint="-0.249977111117893"/>
      </bottom>
      <diagonal/>
    </border>
    <border>
      <left style="medium">
        <color theme="4" tint="-0.249977111117893"/>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style="thin">
        <color indexed="64"/>
      </left>
      <right style="thin">
        <color indexed="64"/>
      </right>
      <top/>
      <bottom/>
      <diagonal/>
    </border>
    <border>
      <left style="thin">
        <color theme="4" tint="-0.249977111117893"/>
      </left>
      <right style="thin">
        <color theme="4" tint="-0.249977111117893"/>
      </right>
      <top/>
      <bottom/>
      <diagonal/>
    </border>
    <border>
      <left style="thin">
        <color theme="4" tint="-0.249977111117893"/>
      </left>
      <right style="thin">
        <color theme="4" tint="-0.249977111117893"/>
      </right>
      <top style="thin">
        <color theme="4" tint="-0.249977111117893"/>
      </top>
      <bottom/>
      <diagonal/>
    </border>
    <border>
      <left style="medium">
        <color theme="4" tint="-0.249977111117893"/>
      </left>
      <right style="thin">
        <color theme="4" tint="-0.249977111117893"/>
      </right>
      <top style="medium">
        <color theme="4" tint="-0.249977111117893"/>
      </top>
      <bottom style="thin">
        <color theme="4" tint="-0.249977111117893"/>
      </bottom>
      <diagonal/>
    </border>
    <border>
      <left style="thin">
        <color theme="4" tint="-0.249977111117893"/>
      </left>
      <right style="thin">
        <color theme="4" tint="-0.249977111117893"/>
      </right>
      <top style="medium">
        <color theme="4" tint="-0.249977111117893"/>
      </top>
      <bottom style="thin">
        <color theme="4" tint="-0.249977111117893"/>
      </bottom>
      <diagonal/>
    </border>
    <border>
      <left style="thin">
        <color theme="4" tint="-0.249977111117893"/>
      </left>
      <right style="medium">
        <color theme="4" tint="-0.249977111117893"/>
      </right>
      <top style="medium">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medium">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thin">
        <color theme="4" tint="-0.249977111117893"/>
      </left>
      <right style="medium">
        <color theme="4" tint="-0.249977111117893"/>
      </right>
      <top style="thin">
        <color theme="4" tint="-0.249977111117893"/>
      </top>
      <bottom style="medium">
        <color theme="4" tint="-0.24997711111789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thin">
        <color theme="4" tint="-0.249977111117893"/>
      </right>
      <top style="medium">
        <color indexed="64"/>
      </top>
      <bottom style="medium">
        <color theme="4" tint="-0.249977111117893"/>
      </bottom>
      <diagonal/>
    </border>
    <border>
      <left style="thin">
        <color theme="4" tint="-0.249977111117893"/>
      </left>
      <right style="thin">
        <color theme="4" tint="-0.249977111117893"/>
      </right>
      <top style="medium">
        <color indexed="64"/>
      </top>
      <bottom style="medium">
        <color theme="4" tint="-0.249977111117893"/>
      </bottom>
      <diagonal/>
    </border>
    <border>
      <left style="thin">
        <color theme="4" tint="-0.249977111117893"/>
      </left>
      <right style="medium">
        <color indexed="64"/>
      </right>
      <top style="medium">
        <color indexed="64"/>
      </top>
      <bottom style="medium">
        <color theme="4" tint="-0.249977111117893"/>
      </bottom>
      <diagonal/>
    </border>
    <border>
      <left style="medium">
        <color indexed="64"/>
      </left>
      <right style="thin">
        <color theme="4" tint="-0.249977111117893"/>
      </right>
      <top/>
      <bottom/>
      <diagonal/>
    </border>
    <border>
      <left style="thin">
        <color theme="4" tint="-0.249977111117893"/>
      </left>
      <right style="medium">
        <color indexed="64"/>
      </right>
      <top/>
      <bottom/>
      <diagonal/>
    </border>
    <border>
      <left style="medium">
        <color indexed="64"/>
      </left>
      <right style="thin">
        <color theme="4" tint="-0.249977111117893"/>
      </right>
      <top/>
      <bottom style="medium">
        <color indexed="64"/>
      </bottom>
      <diagonal/>
    </border>
    <border>
      <left style="thin">
        <color theme="4" tint="-0.249977111117893"/>
      </left>
      <right style="thin">
        <color theme="4" tint="-0.249977111117893"/>
      </right>
      <top/>
      <bottom style="medium">
        <color indexed="64"/>
      </bottom>
      <diagonal/>
    </border>
    <border>
      <left style="thin">
        <color theme="4" tint="-0.249977111117893"/>
      </left>
      <right style="medium">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0" fontId="9" fillId="10" borderId="0" applyNumberFormat="0" applyBorder="0" applyAlignment="0" applyProtection="0"/>
    <xf numFmtId="0" fontId="18" fillId="15" borderId="43" applyNumberFormat="0" applyAlignment="0" applyProtection="0"/>
    <xf numFmtId="0" fontId="19" fillId="16" borderId="44" applyNumberFormat="0" applyAlignment="0" applyProtection="0"/>
  </cellStyleXfs>
  <cellXfs count="145">
    <xf numFmtId="0" fontId="0" fillId="0" borderId="0" xfId="0"/>
    <xf numFmtId="0" fontId="3" fillId="0" borderId="0" xfId="0" applyFont="1"/>
    <xf numFmtId="164" fontId="0" fillId="0" borderId="0" xfId="0" applyNumberFormat="1"/>
    <xf numFmtId="0" fontId="3" fillId="4" borderId="0" xfId="0" applyFont="1" applyFill="1"/>
    <xf numFmtId="0" fontId="2" fillId="4" borderId="1" xfId="0" applyFont="1" applyFill="1" applyBorder="1"/>
    <xf numFmtId="0" fontId="2" fillId="2" borderId="1" xfId="0" applyFont="1" applyFill="1" applyBorder="1"/>
    <xf numFmtId="0" fontId="2" fillId="2" borderId="3" xfId="0" applyFont="1" applyFill="1" applyBorder="1"/>
    <xf numFmtId="164" fontId="0" fillId="3" borderId="2" xfId="0" applyNumberFormat="1" applyFill="1" applyBorder="1"/>
    <xf numFmtId="164" fontId="0" fillId="3" borderId="4" xfId="0" applyNumberFormat="1" applyFill="1" applyBorder="1"/>
    <xf numFmtId="0" fontId="5" fillId="0" borderId="0" xfId="0" applyFont="1"/>
    <xf numFmtId="0" fontId="6" fillId="0" borderId="0" xfId="0" applyFont="1"/>
    <xf numFmtId="0" fontId="0" fillId="0" borderId="8" xfId="0" applyBorder="1"/>
    <xf numFmtId="164" fontId="0" fillId="0" borderId="9" xfId="0" applyNumberFormat="1" applyBorder="1"/>
    <xf numFmtId="0" fontId="0" fillId="0" borderId="10" xfId="0" applyBorder="1"/>
    <xf numFmtId="164" fontId="0" fillId="0" borderId="11" xfId="0" applyNumberFormat="1" applyBorder="1"/>
    <xf numFmtId="164" fontId="0" fillId="0" borderId="12" xfId="0" applyNumberFormat="1" applyBorder="1"/>
    <xf numFmtId="0" fontId="3" fillId="0" borderId="14" xfId="0" applyFont="1" applyBorder="1"/>
    <xf numFmtId="0" fontId="3" fillId="0" borderId="15" xfId="0" applyFont="1" applyBorder="1"/>
    <xf numFmtId="0" fontId="0" fillId="5" borderId="0" xfId="0" applyFill="1"/>
    <xf numFmtId="0" fontId="0" fillId="0" borderId="16" xfId="0" applyBorder="1"/>
    <xf numFmtId="0" fontId="0" fillId="0" borderId="17" xfId="0" applyBorder="1"/>
    <xf numFmtId="0" fontId="0" fillId="0" borderId="5" xfId="0" applyBorder="1"/>
    <xf numFmtId="164" fontId="0" fillId="3" borderId="18" xfId="0" applyNumberFormat="1" applyFill="1" applyBorder="1"/>
    <xf numFmtId="0" fontId="2" fillId="2" borderId="0" xfId="0" applyFont="1" applyFill="1"/>
    <xf numFmtId="0" fontId="0" fillId="7" borderId="0" xfId="0" applyFill="1"/>
    <xf numFmtId="0" fontId="3" fillId="7" borderId="0" xfId="0" applyFont="1" applyFill="1"/>
    <xf numFmtId="0" fontId="0" fillId="7" borderId="0" xfId="0" applyFill="1" applyAlignment="1">
      <alignment horizontal="left" indent="3"/>
    </xf>
    <xf numFmtId="164" fontId="0" fillId="7" borderId="0" xfId="0" applyNumberFormat="1" applyFill="1"/>
    <xf numFmtId="9" fontId="7" fillId="7" borderId="0" xfId="1" applyFont="1" applyFill="1"/>
    <xf numFmtId="164" fontId="3" fillId="7" borderId="0" xfId="0" applyNumberFormat="1" applyFont="1" applyFill="1"/>
    <xf numFmtId="0" fontId="3" fillId="7" borderId="0" xfId="0" applyFont="1" applyFill="1" applyAlignment="1">
      <alignment horizontal="left"/>
    </xf>
    <xf numFmtId="10" fontId="3" fillId="7" borderId="0" xfId="1" applyNumberFormat="1" applyFont="1" applyFill="1"/>
    <xf numFmtId="164" fontId="0" fillId="8" borderId="2" xfId="0" applyNumberFormat="1" applyFill="1" applyBorder="1"/>
    <xf numFmtId="164" fontId="0" fillId="8" borderId="4" xfId="0" applyNumberFormat="1" applyFill="1" applyBorder="1"/>
    <xf numFmtId="164" fontId="0" fillId="9" borderId="0" xfId="0" applyNumberFormat="1" applyFill="1"/>
    <xf numFmtId="0" fontId="3" fillId="2" borderId="0" xfId="0" applyFont="1" applyFill="1"/>
    <xf numFmtId="0" fontId="3" fillId="0" borderId="13" xfId="0" applyFont="1" applyBorder="1"/>
    <xf numFmtId="9" fontId="0" fillId="0" borderId="0" xfId="1" applyFont="1"/>
    <xf numFmtId="0" fontId="0" fillId="11" borderId="0" xfId="0" applyFill="1"/>
    <xf numFmtId="164" fontId="0" fillId="11" borderId="9" xfId="0" applyNumberFormat="1" applyFill="1" applyBorder="1"/>
    <xf numFmtId="9" fontId="0" fillId="11" borderId="0" xfId="1" applyFont="1" applyFill="1"/>
    <xf numFmtId="0" fontId="3" fillId="11" borderId="13" xfId="0" applyFont="1" applyFill="1" applyBorder="1"/>
    <xf numFmtId="0" fontId="3" fillId="11" borderId="5" xfId="0" applyFont="1" applyFill="1" applyBorder="1"/>
    <xf numFmtId="0" fontId="3" fillId="11" borderId="6" xfId="0" applyFont="1" applyFill="1" applyBorder="1"/>
    <xf numFmtId="164" fontId="0" fillId="11" borderId="7" xfId="0" applyNumberFormat="1" applyFill="1" applyBorder="1"/>
    <xf numFmtId="0" fontId="0" fillId="11" borderId="8" xfId="0" applyFill="1" applyBorder="1"/>
    <xf numFmtId="0" fontId="0" fillId="11" borderId="9" xfId="0" applyFill="1" applyBorder="1"/>
    <xf numFmtId="0" fontId="0" fillId="11" borderId="10" xfId="0" applyFill="1" applyBorder="1"/>
    <xf numFmtId="164" fontId="0" fillId="11" borderId="12" xfId="0" applyNumberFormat="1" applyFill="1" applyBorder="1"/>
    <xf numFmtId="0" fontId="10" fillId="11" borderId="0" xfId="0" applyFont="1" applyFill="1"/>
    <xf numFmtId="0" fontId="11" fillId="11" borderId="0" xfId="0" applyFont="1" applyFill="1"/>
    <xf numFmtId="0" fontId="0" fillId="11" borderId="12" xfId="0" applyFill="1" applyBorder="1"/>
    <xf numFmtId="0" fontId="3" fillId="11" borderId="5" xfId="0" applyFont="1" applyFill="1" applyBorder="1" applyAlignment="1">
      <alignment horizontal="left"/>
    </xf>
    <xf numFmtId="0" fontId="3" fillId="11" borderId="5" xfId="0" applyFont="1" applyFill="1" applyBorder="1" applyAlignment="1">
      <alignment horizontal="center"/>
    </xf>
    <xf numFmtId="0" fontId="3" fillId="11" borderId="15" xfId="0" applyFont="1" applyFill="1" applyBorder="1" applyAlignment="1">
      <alignment horizontal="center"/>
    </xf>
    <xf numFmtId="0" fontId="13" fillId="11" borderId="0" xfId="0" applyFont="1" applyFill="1"/>
    <xf numFmtId="164" fontId="0" fillId="11" borderId="0" xfId="0" applyNumberFormat="1" applyFill="1"/>
    <xf numFmtId="9" fontId="0" fillId="11" borderId="0" xfId="0" applyNumberFormat="1" applyFill="1"/>
    <xf numFmtId="10" fontId="0" fillId="11" borderId="0" xfId="1" applyNumberFormat="1" applyFont="1" applyFill="1" applyBorder="1"/>
    <xf numFmtId="0" fontId="15" fillId="12" borderId="0" xfId="0" applyFont="1" applyFill="1" applyAlignment="1">
      <alignment wrapText="1"/>
    </xf>
    <xf numFmtId="164" fontId="14" fillId="12" borderId="0" xfId="0" applyNumberFormat="1" applyFont="1" applyFill="1"/>
    <xf numFmtId="0" fontId="14" fillId="12" borderId="0" xfId="0" applyFont="1" applyFill="1"/>
    <xf numFmtId="10" fontId="14" fillId="12" borderId="0" xfId="1" applyNumberFormat="1" applyFont="1" applyFill="1" applyBorder="1"/>
    <xf numFmtId="0" fontId="3" fillId="12" borderId="0" xfId="0" applyFont="1" applyFill="1"/>
    <xf numFmtId="0" fontId="3" fillId="12" borderId="0" xfId="0" applyFont="1" applyFill="1" applyAlignment="1">
      <alignment horizontal="left" indent="1"/>
    </xf>
    <xf numFmtId="0" fontId="0" fillId="12" borderId="0" xfId="0" applyFill="1"/>
    <xf numFmtId="164" fontId="16" fillId="13" borderId="0" xfId="0" applyNumberFormat="1" applyFont="1" applyFill="1"/>
    <xf numFmtId="164" fontId="16" fillId="14" borderId="0" xfId="0" applyNumberFormat="1" applyFont="1" applyFill="1"/>
    <xf numFmtId="0" fontId="0" fillId="0" borderId="0" xfId="0" applyAlignment="1">
      <alignment wrapText="1"/>
    </xf>
    <xf numFmtId="0" fontId="0" fillId="11" borderId="0" xfId="0" applyFill="1" applyAlignment="1">
      <alignment vertical="top"/>
    </xf>
    <xf numFmtId="0" fontId="0" fillId="11" borderId="0" xfId="0" applyFill="1" applyAlignment="1">
      <alignment vertical="top" wrapText="1"/>
    </xf>
    <xf numFmtId="0" fontId="0" fillId="11" borderId="0" xfId="0" applyFill="1" applyAlignment="1">
      <alignment wrapText="1"/>
    </xf>
    <xf numFmtId="0" fontId="0" fillId="11" borderId="0" xfId="0" applyFill="1" applyAlignment="1">
      <alignment horizontal="left"/>
    </xf>
    <xf numFmtId="164" fontId="0" fillId="11" borderId="0" xfId="0" applyNumberFormat="1" applyFill="1" applyAlignment="1">
      <alignment horizontal="center"/>
    </xf>
    <xf numFmtId="1" fontId="0" fillId="11" borderId="0" xfId="0" applyNumberFormat="1" applyFill="1" applyAlignment="1">
      <alignment horizontal="center"/>
    </xf>
    <xf numFmtId="1" fontId="0" fillId="11" borderId="0" xfId="0" applyNumberFormat="1" applyFill="1"/>
    <xf numFmtId="10" fontId="0" fillId="11" borderId="0" xfId="0" applyNumberFormat="1" applyFill="1"/>
    <xf numFmtId="0" fontId="0" fillId="0" borderId="25" xfId="0" applyBorder="1"/>
    <xf numFmtId="15" fontId="0" fillId="0" borderId="26" xfId="0" applyNumberFormat="1" applyBorder="1"/>
    <xf numFmtId="0" fontId="0" fillId="0" borderId="26" xfId="0" applyBorder="1"/>
    <xf numFmtId="0" fontId="0" fillId="0" borderId="27" xfId="0" applyBorder="1" applyAlignment="1">
      <alignment wrapText="1"/>
    </xf>
    <xf numFmtId="0" fontId="0" fillId="0" borderId="27" xfId="0" applyBorder="1"/>
    <xf numFmtId="0" fontId="0" fillId="0" borderId="28" xfId="0" applyBorder="1"/>
    <xf numFmtId="0" fontId="0" fillId="0" borderId="29" xfId="0" applyBorder="1"/>
    <xf numFmtId="44" fontId="0" fillId="0" borderId="29" xfId="2" applyFont="1" applyBorder="1"/>
    <xf numFmtId="0" fontId="0" fillId="0" borderId="30" xfId="0" applyBorder="1"/>
    <xf numFmtId="0" fontId="0" fillId="0" borderId="31" xfId="0" applyBorder="1"/>
    <xf numFmtId="164" fontId="0" fillId="0" borderId="33" xfId="0" applyNumberFormat="1" applyBorder="1"/>
    <xf numFmtId="0" fontId="0" fillId="0" borderId="34" xfId="0" applyBorder="1"/>
    <xf numFmtId="44" fontId="0" fillId="0" borderId="34" xfId="2" applyFont="1" applyBorder="1"/>
    <xf numFmtId="0" fontId="0" fillId="0" borderId="35" xfId="0" applyBorder="1"/>
    <xf numFmtId="44" fontId="0" fillId="0" borderId="36" xfId="2" applyFont="1" applyBorder="1"/>
    <xf numFmtId="44" fontId="0" fillId="0" borderId="37" xfId="2" applyFont="1" applyBorder="1"/>
    <xf numFmtId="0" fontId="0" fillId="0" borderId="38" xfId="0" applyBorder="1"/>
    <xf numFmtId="44" fontId="0" fillId="0" borderId="39" xfId="2" applyFont="1" applyBorder="1"/>
    <xf numFmtId="0" fontId="0" fillId="0" borderId="40" xfId="0" applyBorder="1"/>
    <xf numFmtId="44" fontId="0" fillId="0" borderId="41" xfId="2" applyFont="1" applyBorder="1"/>
    <xf numFmtId="44" fontId="0" fillId="0" borderId="42" xfId="2" applyFont="1" applyBorder="1"/>
    <xf numFmtId="0" fontId="8" fillId="6" borderId="0" xfId="0" applyFont="1" applyFill="1" applyAlignment="1">
      <alignment horizontal="center"/>
    </xf>
    <xf numFmtId="0" fontId="12" fillId="11" borderId="0" xfId="0" applyFont="1" applyFill="1" applyAlignment="1">
      <alignment horizontal="center"/>
    </xf>
    <xf numFmtId="0" fontId="3" fillId="12" borderId="0" xfId="0" applyFont="1" applyFill="1" applyAlignment="1">
      <alignment horizontal="center"/>
    </xf>
    <xf numFmtId="0" fontId="17" fillId="10" borderId="19" xfId="3" applyFont="1" applyBorder="1" applyAlignment="1">
      <alignment horizontal="center"/>
    </xf>
    <xf numFmtId="0" fontId="17" fillId="10" borderId="20" xfId="3" applyFont="1" applyBorder="1" applyAlignment="1">
      <alignment horizontal="center"/>
    </xf>
    <xf numFmtId="0" fontId="17" fillId="10" borderId="21" xfId="3"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7" fillId="10" borderId="32" xfId="3" applyFont="1" applyBorder="1" applyAlignment="1">
      <alignment horizontal="center"/>
    </xf>
    <xf numFmtId="0" fontId="9" fillId="0" borderId="0" xfId="0" applyFont="1"/>
    <xf numFmtId="164" fontId="18" fillId="15" borderId="43" xfId="4" applyNumberFormat="1"/>
    <xf numFmtId="0" fontId="18" fillId="15" borderId="43" xfId="4" applyAlignment="1">
      <alignment horizontal="right"/>
    </xf>
    <xf numFmtId="165" fontId="18" fillId="15" borderId="43" xfId="4" applyNumberFormat="1"/>
    <xf numFmtId="0" fontId="18" fillId="15" borderId="43" xfId="4"/>
    <xf numFmtId="164" fontId="19" fillId="16" borderId="44" xfId="5" applyNumberFormat="1"/>
    <xf numFmtId="0" fontId="0" fillId="0" borderId="45" xfId="0" applyBorder="1"/>
    <xf numFmtId="0" fontId="0" fillId="0" borderId="46" xfId="0" applyBorder="1"/>
    <xf numFmtId="0" fontId="0" fillId="0" borderId="47" xfId="0" applyBorder="1"/>
    <xf numFmtId="0" fontId="0" fillId="0" borderId="48" xfId="0" applyBorder="1"/>
    <xf numFmtId="164" fontId="0" fillId="0" borderId="49" xfId="0" applyNumberFormat="1" applyBorder="1"/>
    <xf numFmtId="165" fontId="0" fillId="0" borderId="48" xfId="1" applyNumberFormat="1" applyFont="1" applyBorder="1"/>
    <xf numFmtId="165" fontId="0" fillId="0" borderId="50" xfId="1" applyNumberFormat="1" applyFont="1" applyBorder="1"/>
    <xf numFmtId="164" fontId="0" fillId="0" borderId="51" xfId="0" applyNumberFormat="1" applyBorder="1"/>
    <xf numFmtId="164" fontId="0" fillId="0" borderId="52" xfId="0" applyNumberFormat="1" applyBorder="1"/>
    <xf numFmtId="0" fontId="3" fillId="17" borderId="13" xfId="0" applyFont="1" applyFill="1" applyBorder="1" applyAlignment="1">
      <alignment wrapText="1"/>
    </xf>
    <xf numFmtId="0" fontId="3" fillId="17" borderId="14" xfId="0" applyFont="1" applyFill="1" applyBorder="1" applyAlignment="1">
      <alignment wrapText="1"/>
    </xf>
    <xf numFmtId="0" fontId="3" fillId="17" borderId="15" xfId="0" applyFont="1" applyFill="1" applyBorder="1" applyAlignment="1">
      <alignment wrapText="1"/>
    </xf>
    <xf numFmtId="0" fontId="0" fillId="17" borderId="8" xfId="0" applyFill="1" applyBorder="1" applyAlignment="1">
      <alignment wrapText="1"/>
    </xf>
    <xf numFmtId="0" fontId="0" fillId="17" borderId="0" xfId="0" applyFill="1" applyBorder="1" applyAlignment="1">
      <alignment wrapText="1"/>
    </xf>
    <xf numFmtId="0" fontId="0" fillId="17" borderId="9" xfId="0" applyFill="1" applyBorder="1" applyAlignment="1">
      <alignment wrapText="1"/>
    </xf>
    <xf numFmtId="0" fontId="0" fillId="19" borderId="9" xfId="0" applyFill="1" applyBorder="1" applyAlignment="1">
      <alignment wrapText="1"/>
    </xf>
    <xf numFmtId="0" fontId="0" fillId="19" borderId="12" xfId="0" applyFill="1" applyBorder="1" applyAlignment="1">
      <alignment wrapText="1"/>
    </xf>
    <xf numFmtId="0" fontId="0" fillId="0" borderId="5" xfId="0" applyBorder="1" applyAlignment="1">
      <alignment wrapText="1"/>
    </xf>
    <xf numFmtId="0" fontId="0" fillId="18" borderId="53" xfId="0" applyFill="1" applyBorder="1" applyAlignment="1">
      <alignment horizontal="center" vertical="center" wrapText="1"/>
    </xf>
    <xf numFmtId="0" fontId="0" fillId="18" borderId="16" xfId="0" applyFill="1" applyBorder="1" applyAlignment="1">
      <alignment horizontal="center" vertical="center" wrapText="1"/>
    </xf>
    <xf numFmtId="0" fontId="0" fillId="18" borderId="17" xfId="0" applyFill="1" applyBorder="1" applyAlignment="1">
      <alignment horizontal="center" vertical="center" wrapText="1"/>
    </xf>
    <xf numFmtId="0" fontId="0" fillId="18" borderId="5" xfId="0" applyFill="1" applyBorder="1" applyAlignment="1">
      <alignment wrapText="1"/>
    </xf>
    <xf numFmtId="0" fontId="0" fillId="19" borderId="6" xfId="0" applyFill="1" applyBorder="1" applyAlignment="1">
      <alignment wrapText="1"/>
    </xf>
    <xf numFmtId="0" fontId="0" fillId="19" borderId="7" xfId="0" applyFill="1" applyBorder="1" applyAlignment="1">
      <alignment wrapText="1"/>
    </xf>
    <xf numFmtId="0" fontId="0" fillId="19" borderId="8" xfId="0" applyFill="1" applyBorder="1" applyAlignment="1">
      <alignment wrapText="1"/>
    </xf>
    <xf numFmtId="0" fontId="0" fillId="19" borderId="10" xfId="0" applyFill="1" applyBorder="1" applyAlignment="1">
      <alignment wrapText="1"/>
    </xf>
    <xf numFmtId="0" fontId="0" fillId="19" borderId="13" xfId="0" applyFill="1" applyBorder="1" applyAlignment="1">
      <alignment wrapText="1"/>
    </xf>
    <xf numFmtId="0" fontId="0" fillId="19" borderId="15" xfId="0" applyFill="1" applyBorder="1" applyAlignment="1">
      <alignment wrapText="1"/>
    </xf>
    <xf numFmtId="0" fontId="0" fillId="7" borderId="53" xfId="0" applyFill="1" applyBorder="1" applyAlignment="1">
      <alignment wrapText="1"/>
    </xf>
    <xf numFmtId="0" fontId="0" fillId="7" borderId="16" xfId="0" applyFill="1" applyBorder="1" applyAlignment="1">
      <alignment wrapText="1"/>
    </xf>
    <xf numFmtId="0" fontId="0" fillId="7" borderId="17" xfId="0" applyFill="1" applyBorder="1" applyAlignment="1">
      <alignment wrapText="1"/>
    </xf>
  </cellXfs>
  <cellStyles count="6">
    <cellStyle name="Accent5" xfId="3" builtinId="45"/>
    <cellStyle name="Currency" xfId="2" builtinId="4"/>
    <cellStyle name="Input" xfId="4" builtinId="20"/>
    <cellStyle name="Normal" xfId="0" builtinId="0"/>
    <cellStyle name="Output" xfId="5" builtinId="21"/>
    <cellStyle name="Percent" xfId="1" builtinId="5"/>
  </cellStyles>
  <dxfs count="119">
    <dxf>
      <numFmt numFmtId="164" formatCode="&quot;$&quot;#,##0.00"/>
    </dxf>
    <dxf>
      <numFmt numFmtId="14" formatCode="0.00%"/>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numFmt numFmtId="164" formatCode="&quot;$&quot;#,##0.00"/>
    </dxf>
    <dxf>
      <numFmt numFmtId="14" formatCode="0.00%"/>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numFmt numFmtId="164" formatCode="&quot;$&quot;#,##0.00"/>
    </dxf>
    <dxf>
      <numFmt numFmtId="14" formatCode="0.00%"/>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numFmt numFmtId="164" formatCode="&quot;$&quot;#,##0.00"/>
    </dxf>
    <dxf>
      <numFmt numFmtId="14" formatCode="0.00%"/>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ont>
        <b/>
        <i val="0"/>
        <color theme="0"/>
      </font>
      <fill>
        <patternFill>
          <bgColor rgb="FFFF0000"/>
        </patternFill>
      </fill>
    </dxf>
    <dxf>
      <font>
        <b/>
        <i val="0"/>
        <color theme="0"/>
      </font>
      <fill>
        <patternFill>
          <bgColor theme="9" tint="-0.24994659260841701"/>
        </patternFill>
      </fill>
    </dxf>
    <dxf>
      <font>
        <b/>
        <i val="0"/>
        <color theme="0"/>
      </font>
      <fill>
        <patternFill>
          <bgColor rgb="FFFF0000"/>
        </patternFill>
      </fill>
    </dxf>
    <dxf>
      <font>
        <b/>
        <i val="0"/>
        <color theme="0"/>
      </font>
      <fill>
        <patternFill>
          <bgColor theme="9" tint="-0.24994659260841701"/>
        </patternFill>
      </fill>
    </dxf>
    <dxf>
      <fill>
        <patternFill>
          <bgColor rgb="FFFF0000"/>
        </patternFill>
      </fill>
    </dxf>
    <dxf>
      <fill>
        <patternFill>
          <bgColor rgb="FF00B0F0"/>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numFmt numFmtId="14" formatCode="0.00%"/>
    </dxf>
    <dxf>
      <numFmt numFmtId="164" formatCode="&quot;$&quot;#,##0.00"/>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alignment wrapText="1"/>
    </dxf>
    <dxf>
      <alignment horizontal="center"/>
    </dxf>
    <dxf>
      <numFmt numFmtId="1" formatCode="0"/>
    </dxf>
    <dxf>
      <alignment horizontal="center"/>
    </dxf>
    <dxf>
      <alignment vertical="top"/>
    </dxf>
    <dxf>
      <alignment vertical="top"/>
    </dxf>
    <dxf>
      <alignment wrapText="1"/>
    </dxf>
    <dxf>
      <numFmt numFmtId="13" formatCode="0%"/>
    </dxf>
    <dxf>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rgb="FFFFC000"/>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FFC000"/>
        </patternFill>
      </fill>
    </dxf>
    <dxf>
      <font>
        <b val="0"/>
        <i val="0"/>
        <strike val="0"/>
        <condense val="0"/>
        <extend val="0"/>
        <outline val="0"/>
        <shadow val="0"/>
        <u val="none"/>
        <vertAlign val="baseline"/>
        <sz val="11"/>
        <color theme="1"/>
        <name val="Aptos Narrow"/>
        <family val="2"/>
        <scheme val="minor"/>
      </font>
      <numFmt numFmtId="164" formatCode="&quot;$&quot;#,##0.00"/>
    </dxf>
    <dxf>
      <font>
        <b val="0"/>
        <i val="0"/>
        <strike val="0"/>
        <condense val="0"/>
        <extend val="0"/>
        <outline val="0"/>
        <shadow val="0"/>
        <u val="none"/>
        <vertAlign val="baseline"/>
        <sz val="11"/>
        <color theme="1"/>
        <name val="Aptos Narrow"/>
        <family val="2"/>
        <scheme val="minor"/>
      </font>
    </dxf>
    <dxf>
      <border outline="0">
        <top style="thin">
          <color theme="1"/>
        </top>
        <bottom style="thin">
          <color theme="1"/>
        </bottom>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18" Type="http://schemas.openxmlformats.org/officeDocument/2006/relationships/customXml" Target="../customXml/item1.xml"/><Relationship Id="rId26" Type="http://schemas.openxmlformats.org/officeDocument/2006/relationships/customXml" Target="../customXml/item9.xml"/><Relationship Id="rId3" Type="http://schemas.openxmlformats.org/officeDocument/2006/relationships/worksheet" Target="worksheets/sheet3.xml"/><Relationship Id="rId21" Type="http://schemas.openxmlformats.org/officeDocument/2006/relationships/customXml" Target="../customXml/item4.xml"/><Relationship Id="rId34" Type="http://schemas.openxmlformats.org/officeDocument/2006/relationships/customXml" Target="../customXml/item17.xml"/><Relationship Id="rId7" Type="http://schemas.openxmlformats.org/officeDocument/2006/relationships/externalLink" Target="externalLinks/externalLink1.xml"/><Relationship Id="rId12" Type="http://schemas.openxmlformats.org/officeDocument/2006/relationships/connections" Target="connections.xml"/><Relationship Id="rId17" Type="http://schemas.openxmlformats.org/officeDocument/2006/relationships/calcChain" Target="calcChain.xml"/><Relationship Id="rId25" Type="http://schemas.openxmlformats.org/officeDocument/2006/relationships/customXml" Target="../customXml/item8.xml"/><Relationship Id="rId33" Type="http://schemas.openxmlformats.org/officeDocument/2006/relationships/customXml" Target="../customXml/item16.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29"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7.xml"/><Relationship Id="rId32" Type="http://schemas.openxmlformats.org/officeDocument/2006/relationships/customXml" Target="../customXml/item15.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6.xml"/><Relationship Id="rId28" Type="http://schemas.openxmlformats.org/officeDocument/2006/relationships/customXml" Target="../customXml/item11.xml"/><Relationship Id="rId10" Type="http://schemas.microsoft.com/office/2007/relationships/slicerCache" Target="slicerCaches/slicerCache1.xml"/><Relationship Id="rId19" Type="http://schemas.openxmlformats.org/officeDocument/2006/relationships/customXml" Target="../customXml/item2.xml"/><Relationship Id="rId31" Type="http://schemas.openxmlformats.org/officeDocument/2006/relationships/customXml" Target="../customXml/item14.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5.xml"/><Relationship Id="rId27" Type="http://schemas.openxmlformats.org/officeDocument/2006/relationships/customXml" Target="../customXml/item10.xml"/><Relationship Id="rId30" Type="http://schemas.openxmlformats.org/officeDocument/2006/relationships/customXml" Target="../customXml/item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Expence Budget</a:t>
            </a:r>
            <a:r>
              <a:rPr lang="en-US" baseline="0"/>
              <a:t> versus Actual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'Budget Analysis'!$C$2</c:f>
              <c:strCache>
                <c:ptCount val="1"/>
                <c:pt idx="0">
                  <c:v>Budget</c:v>
                </c:pt>
              </c:strCache>
            </c:strRef>
          </c:tx>
          <c:spPr>
            <a:ln w="28575" cap="rnd">
              <a:solidFill>
                <a:schemeClr val="accent1"/>
              </a:solidFill>
              <a:round/>
            </a:ln>
            <a:effectLst/>
          </c:spPr>
          <c:marker>
            <c:symbol val="none"/>
          </c:marker>
          <c:cat>
            <c:strRef>
              <c:f>'Budget Analysis'!$B$3:$B$14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'Budget Analysis'!$C$3:$C$14</c:f>
              <c:numCache>
                <c:formatCode>"$"#,##0.00</c:formatCode>
                <c:ptCount val="12"/>
                <c:pt idx="0">
                  <c:v>1436</c:v>
                </c:pt>
                <c:pt idx="1">
                  <c:v>801</c:v>
                </c:pt>
                <c:pt idx="2">
                  <c:v>1331</c:v>
                </c:pt>
                <c:pt idx="3">
                  <c:v>1311</c:v>
                </c:pt>
                <c:pt idx="4">
                  <c:v>1311</c:v>
                </c:pt>
                <c:pt idx="5">
                  <c:v>1311</c:v>
                </c:pt>
                <c:pt idx="6">
                  <c:v>1311</c:v>
                </c:pt>
                <c:pt idx="7">
                  <c:v>1311</c:v>
                </c:pt>
                <c:pt idx="8">
                  <c:v>1311</c:v>
                </c:pt>
                <c:pt idx="9">
                  <c:v>1311</c:v>
                </c:pt>
                <c:pt idx="10">
                  <c:v>1311</c:v>
                </c:pt>
                <c:pt idx="11">
                  <c:v>1311</c:v>
                </c:pt>
              </c:numCache>
            </c:numRef>
          </c:val>
          <c:smooth val="0"/>
          <c:extLst>
            <c:ext xmlns:c16="http://schemas.microsoft.com/office/drawing/2014/chart" uri="{C3380CC4-5D6E-409C-BE32-E72D297353CC}">
              <c16:uniqueId val="{00000000-C469-4F40-B00E-3919321AE422}"/>
            </c:ext>
          </c:extLst>
        </c:ser>
        <c:ser>
          <c:idx val="1"/>
          <c:order val="1"/>
          <c:tx>
            <c:strRef>
              <c:f>'Budget Analysis'!$D$2</c:f>
              <c:strCache>
                <c:ptCount val="1"/>
                <c:pt idx="0">
                  <c:v>Actual</c:v>
                </c:pt>
              </c:strCache>
            </c:strRef>
          </c:tx>
          <c:spPr>
            <a:ln w="28575" cap="rnd">
              <a:solidFill>
                <a:schemeClr val="accent2"/>
              </a:solidFill>
              <a:round/>
            </a:ln>
            <a:effectLst/>
          </c:spPr>
          <c:marker>
            <c:symbol val="none"/>
          </c:marker>
          <c:cat>
            <c:strRef>
              <c:f>'Budget Analysis'!$B$3:$B$14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'Budget Analysis'!$D$3:$D$14</c:f>
              <c:numCache>
                <c:formatCode>"$"#,##0.00</c:formatCode>
                <c:ptCount val="12"/>
                <c:pt idx="0">
                  <c:v>1330</c:v>
                </c:pt>
                <c:pt idx="1">
                  <c:v>968</c:v>
                </c:pt>
                <c:pt idx="2">
                  <c:v>14</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469-4F40-B00E-3919321AE422}"/>
            </c:ext>
          </c:extLst>
        </c:ser>
        <c:dLbls>
          <c:showLegendKey val="0"/>
          <c:showVal val="0"/>
          <c:showCatName val="0"/>
          <c:showSerName val="0"/>
          <c:showPercent val="0"/>
          <c:showBubbleSize val="0"/>
        </c:dLbls>
        <c:smooth val="0"/>
        <c:axId val="344295688"/>
        <c:axId val="344297128"/>
      </c:lineChart>
      <c:catAx>
        <c:axId val="344295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4297128"/>
        <c:crosses val="autoZero"/>
        <c:auto val="1"/>
        <c:lblAlgn val="ctr"/>
        <c:lblOffset val="100"/>
        <c:noMultiLvlLbl val="0"/>
      </c:catAx>
      <c:valAx>
        <c:axId val="3442971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4295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Income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'Budget Analysis'!$C$17</c:f>
              <c:strCache>
                <c:ptCount val="1"/>
                <c:pt idx="0">
                  <c:v>Budget</c:v>
                </c:pt>
              </c:strCache>
            </c:strRef>
          </c:tx>
          <c:spPr>
            <a:solidFill>
              <a:schemeClr val="accent1"/>
            </a:solidFill>
            <a:ln>
              <a:noFill/>
            </a:ln>
            <a:effectLst/>
          </c:spPr>
          <c:invertIfNegative val="0"/>
          <c:cat>
            <c:strRef>
              <c:f>'Budget Analysis'!$B$18:$B$29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'Budget Analysis'!$C$18:$C$29</c:f>
              <c:numCache>
                <c:formatCode>"$"#,##0.00</c:formatCode>
                <c:ptCount val="12"/>
                <c:pt idx="0">
                  <c:v>2300</c:v>
                </c:pt>
                <c:pt idx="1">
                  <c:v>2300</c:v>
                </c:pt>
                <c:pt idx="2">
                  <c:v>2300</c:v>
                </c:pt>
                <c:pt idx="3">
                  <c:v>2300</c:v>
                </c:pt>
                <c:pt idx="4">
                  <c:v>2300</c:v>
                </c:pt>
                <c:pt idx="5">
                  <c:v>2300</c:v>
                </c:pt>
                <c:pt idx="6">
                  <c:v>2300</c:v>
                </c:pt>
                <c:pt idx="7">
                  <c:v>2300</c:v>
                </c:pt>
                <c:pt idx="8">
                  <c:v>2300</c:v>
                </c:pt>
                <c:pt idx="9">
                  <c:v>2300</c:v>
                </c:pt>
                <c:pt idx="10">
                  <c:v>2300</c:v>
                </c:pt>
                <c:pt idx="11">
                  <c:v>2300</c:v>
                </c:pt>
              </c:numCache>
            </c:numRef>
          </c:val>
          <c:extLst>
            <c:ext xmlns:c16="http://schemas.microsoft.com/office/drawing/2014/chart" uri="{C3380CC4-5D6E-409C-BE32-E72D297353CC}">
              <c16:uniqueId val="{00000000-75EB-4549-9521-51CAD038AD81}"/>
            </c:ext>
          </c:extLst>
        </c:ser>
        <c:dLbls>
          <c:showLegendKey val="0"/>
          <c:showVal val="0"/>
          <c:showCatName val="0"/>
          <c:showSerName val="0"/>
          <c:showPercent val="0"/>
          <c:showBubbleSize val="0"/>
        </c:dLbls>
        <c:gapWidth val="150"/>
        <c:axId val="673143632"/>
        <c:axId val="673147592"/>
      </c:barChart>
      <c:lineChart>
        <c:grouping val="standard"/>
        <c:varyColors val="0"/>
        <c:ser>
          <c:idx val="1"/>
          <c:order val="1"/>
          <c:tx>
            <c:strRef>
              <c:f>'Budget Analysis'!$D$17</c:f>
              <c:strCache>
                <c:ptCount val="1"/>
                <c:pt idx="0">
                  <c:v>Actual</c:v>
                </c:pt>
              </c:strCache>
            </c:strRef>
          </c:tx>
          <c:spPr>
            <a:ln w="28575" cap="rnd">
              <a:solidFill>
                <a:schemeClr val="accent2"/>
              </a:solidFill>
              <a:round/>
            </a:ln>
            <a:effectLst/>
          </c:spPr>
          <c:marker>
            <c:symbol val="none"/>
          </c:marker>
          <c:cat>
            <c:strRef>
              <c:f>'Budget Analysis'!$B$18:$B$29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'Budget Analysis'!$D$18:$D$29</c:f>
              <c:numCache>
                <c:formatCode>"$"#,##0.00</c:formatCode>
                <c:ptCount val="12"/>
                <c:pt idx="0">
                  <c:v>2500</c:v>
                </c:pt>
                <c:pt idx="1">
                  <c:v>2400</c:v>
                </c:pt>
                <c:pt idx="2">
                  <c:v>2100</c:v>
                </c:pt>
                <c:pt idx="3">
                  <c:v>2150</c:v>
                </c:pt>
                <c:pt idx="4">
                  <c:v>2100</c:v>
                </c:pt>
                <c:pt idx="5">
                  <c:v>2140</c:v>
                </c:pt>
                <c:pt idx="6">
                  <c:v>2080</c:v>
                </c:pt>
                <c:pt idx="7">
                  <c:v>2145</c:v>
                </c:pt>
                <c:pt idx="8">
                  <c:v>0</c:v>
                </c:pt>
                <c:pt idx="9">
                  <c:v>0</c:v>
                </c:pt>
                <c:pt idx="10">
                  <c:v>0</c:v>
                </c:pt>
                <c:pt idx="11">
                  <c:v>0</c:v>
                </c:pt>
              </c:numCache>
            </c:numRef>
          </c:val>
          <c:smooth val="0"/>
          <c:extLst>
            <c:ext xmlns:c16="http://schemas.microsoft.com/office/drawing/2014/chart" uri="{C3380CC4-5D6E-409C-BE32-E72D297353CC}">
              <c16:uniqueId val="{00000001-75EB-4549-9521-51CAD038AD81}"/>
            </c:ext>
          </c:extLst>
        </c:ser>
        <c:dLbls>
          <c:showLegendKey val="0"/>
          <c:showVal val="0"/>
          <c:showCatName val="0"/>
          <c:showSerName val="0"/>
          <c:showPercent val="0"/>
          <c:showBubbleSize val="0"/>
        </c:dLbls>
        <c:marker val="1"/>
        <c:smooth val="0"/>
        <c:axId val="673143632"/>
        <c:axId val="673147592"/>
      </c:lineChart>
      <c:catAx>
        <c:axId val="67314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3147592"/>
        <c:crosses val="autoZero"/>
        <c:auto val="1"/>
        <c:lblAlgn val="ctr"/>
        <c:lblOffset val="100"/>
        <c:noMultiLvlLbl val="0"/>
      </c:catAx>
      <c:valAx>
        <c:axId val="6731475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3143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Excess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'Budget Analysis'!$O$18</c:f>
              <c:strCache>
                <c:ptCount val="1"/>
                <c:pt idx="0">
                  <c:v>Excess</c:v>
                </c:pt>
              </c:strCache>
            </c:strRef>
          </c:tx>
          <c:spPr>
            <a:solidFill>
              <a:schemeClr val="accent1"/>
            </a:solidFill>
            <a:ln>
              <a:noFill/>
            </a:ln>
            <a:effectLst/>
          </c:spPr>
          <c:invertIfNegative val="0"/>
          <c:dPt>
            <c:idx val="1"/>
            <c:invertIfNegative val="0"/>
            <c:bubble3D val="0"/>
            <c:spPr>
              <a:solidFill>
                <a:schemeClr val="accent6">
                  <a:lumMod val="50000"/>
                </a:schemeClr>
              </a:solidFill>
              <a:ln>
                <a:noFill/>
              </a:ln>
              <a:effectLst/>
            </c:spPr>
            <c:extLst>
              <c:ext xmlns:c16="http://schemas.microsoft.com/office/drawing/2014/chart" uri="{C3380CC4-5D6E-409C-BE32-E72D297353CC}">
                <c16:uniqueId val="{00000001-3A39-408A-AEF9-015FDB7DA6B0}"/>
              </c:ext>
            </c:extLst>
          </c:dPt>
          <c:cat>
            <c:strRef>
              <c:f>'Budget Analysis'!$P$17:$Q$17</c:f>
              <c:strCache>
                <c:ptCount val="2"/>
                <c:pt idx="0">
                  <c:v>Budget</c:v>
                </c:pt>
                <c:pt idx="1">
                  <c:v>Actual</c:v>
                </c:pt>
              </c:strCache>
            </c:strRef>
          </c:cat>
          <c:val>
            <c:numRef>
              <c:f>'Budget Analysis'!$P$18:$Q$18</c:f>
              <c:numCache>
                <c:formatCode>"$"#,##0.00</c:formatCode>
                <c:ptCount val="2"/>
                <c:pt idx="0">
                  <c:v>12233</c:v>
                </c:pt>
                <c:pt idx="1">
                  <c:v>15303</c:v>
                </c:pt>
              </c:numCache>
            </c:numRef>
          </c:val>
          <c:extLst>
            <c:ext xmlns:c16="http://schemas.microsoft.com/office/drawing/2014/chart" uri="{C3380CC4-5D6E-409C-BE32-E72D297353CC}">
              <c16:uniqueId val="{00000000-3A39-408A-AEF9-015FDB7DA6B0}"/>
            </c:ext>
          </c:extLst>
        </c:ser>
        <c:dLbls>
          <c:showLegendKey val="0"/>
          <c:showVal val="0"/>
          <c:showCatName val="0"/>
          <c:showSerName val="0"/>
          <c:showPercent val="0"/>
          <c:showBubbleSize val="0"/>
        </c:dLbls>
        <c:gapWidth val="219"/>
        <c:overlap val="-27"/>
        <c:axId val="673266392"/>
        <c:axId val="673264952"/>
      </c:barChart>
      <c:catAx>
        <c:axId val="673266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3264952"/>
        <c:crosses val="autoZero"/>
        <c:auto val="1"/>
        <c:lblAlgn val="ctr"/>
        <c:lblOffset val="100"/>
        <c:noMultiLvlLbl val="0"/>
      </c:catAx>
      <c:valAx>
        <c:axId val="6732649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32663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7C30-4142-B3B2-6B669768EEAD}"/>
              </c:ext>
            </c:extLst>
          </c:dPt>
          <c:dPt>
            <c:idx val="1"/>
            <c:bubble3D val="0"/>
            <c:spPr>
              <a:solidFill>
                <a:schemeClr val="tx1">
                  <a:lumMod val="65000"/>
                  <a:lumOff val="35000"/>
                </a:schemeClr>
              </a:solidFill>
              <a:ln w="19050">
                <a:solidFill>
                  <a:schemeClr val="lt1"/>
                </a:solidFill>
              </a:ln>
              <a:effectLst/>
            </c:spPr>
            <c:extLst>
              <c:ext xmlns:c16="http://schemas.microsoft.com/office/drawing/2014/chart" uri="{C3380CC4-5D6E-409C-BE32-E72D297353CC}">
                <c16:uniqueId val="{00000002-7C30-4142-B3B2-6B669768EEAD}"/>
              </c:ext>
            </c:extLst>
          </c:dPt>
          <c:dLbls>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'Personal Value'!$G$2:$G$3</c:f>
              <c:strCache>
                <c:ptCount val="2"/>
                <c:pt idx="0">
                  <c:v>Available</c:v>
                </c:pt>
                <c:pt idx="1">
                  <c:v>Not Realized</c:v>
                </c:pt>
              </c:strCache>
            </c:strRef>
          </c:cat>
          <c:val>
            <c:numRef>
              <c:f>'Personal Value'!$H$2:$H$3</c:f>
              <c:numCache>
                <c:formatCode>"$"#,##0.00</c:formatCode>
                <c:ptCount val="2"/>
                <c:pt idx="0">
                  <c:v>4688</c:v>
                </c:pt>
                <c:pt idx="1">
                  <c:v>10615</c:v>
                </c:pt>
              </c:numCache>
            </c:numRef>
          </c:val>
          <c:extLst>
            <c:ext xmlns:c16="http://schemas.microsoft.com/office/drawing/2014/chart" uri="{C3380CC4-5D6E-409C-BE32-E72D297353CC}">
              <c16:uniqueId val="{00000000-7C30-4142-B3B2-6B669768EEAD}"/>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022465921226983E-3"/>
          <c:y val="0.20695482213659463"/>
          <c:w val="0.47534689413823272"/>
          <c:h val="0.79224482356372117"/>
        </c:manualLayout>
      </c:layout>
      <c:barChart>
        <c:barDir val="col"/>
        <c:grouping val="clustered"/>
        <c:varyColors val="0"/>
        <c:ser>
          <c:idx val="0"/>
          <c:order val="0"/>
          <c:spPr>
            <a:solidFill>
              <a:schemeClr val="accent1"/>
            </a:solidFill>
            <a:ln w="19050">
              <a:solidFill>
                <a:schemeClr val="lt1"/>
              </a:solidFill>
            </a:ln>
            <a:effectLst/>
          </c:spPr>
          <c:invertIfNegative val="0"/>
          <c:dPt>
            <c:idx val="1"/>
            <c:invertIfNegative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7D05-42C0-9B63-C4407010CD9F}"/>
              </c:ext>
            </c:extLst>
          </c:dPt>
          <c:cat>
            <c:strRef>
              <c:f>'Personal Value'!$J$10:$J$11</c:f>
              <c:strCache>
                <c:ptCount val="2"/>
                <c:pt idx="0">
                  <c:v>Laptop</c:v>
                </c:pt>
                <c:pt idx="1">
                  <c:v>Amount Left</c:v>
                </c:pt>
              </c:strCache>
            </c:strRef>
          </c:cat>
          <c:val>
            <c:numRef>
              <c:f>'Personal Value'!$K$10:$K$11</c:f>
              <c:numCache>
                <c:formatCode>"$"#,##0.00</c:formatCode>
                <c:ptCount val="2"/>
                <c:pt idx="0">
                  <c:v>400</c:v>
                </c:pt>
                <c:pt idx="1">
                  <c:v>4288</c:v>
                </c:pt>
              </c:numCache>
            </c:numRef>
          </c:val>
          <c:extLst>
            <c:ext xmlns:c16="http://schemas.microsoft.com/office/drawing/2014/chart" uri="{C3380CC4-5D6E-409C-BE32-E72D297353CC}">
              <c16:uniqueId val="{00000000-7D05-42C0-9B63-C4407010CD9F}"/>
            </c:ext>
          </c:extLst>
        </c:ser>
        <c:dLbls>
          <c:showLegendKey val="0"/>
          <c:showVal val="0"/>
          <c:showCatName val="0"/>
          <c:showSerName val="0"/>
          <c:showPercent val="0"/>
          <c:showBubbleSize val="0"/>
        </c:dLbls>
        <c:gapWidth val="150"/>
        <c:axId val="337858712"/>
        <c:axId val="337861232"/>
      </c:barChart>
      <c:catAx>
        <c:axId val="337858712"/>
        <c:scaling>
          <c:orientation val="minMax"/>
        </c:scaling>
        <c:delete val="1"/>
        <c:axPos val="b"/>
        <c:numFmt formatCode="General" sourceLinked="1"/>
        <c:majorTickMark val="out"/>
        <c:minorTickMark val="none"/>
        <c:tickLblPos val="nextTo"/>
        <c:crossAx val="337861232"/>
        <c:crosses val="autoZero"/>
        <c:auto val="1"/>
        <c:lblAlgn val="ctr"/>
        <c:lblOffset val="100"/>
        <c:noMultiLvlLbl val="0"/>
      </c:catAx>
      <c:valAx>
        <c:axId val="337861232"/>
        <c:scaling>
          <c:orientation val="minMax"/>
        </c:scaling>
        <c:delete val="1"/>
        <c:axPos val="l"/>
        <c:numFmt formatCode="&quot;$&quot;#,##0.00" sourceLinked="1"/>
        <c:majorTickMark val="out"/>
        <c:minorTickMark val="none"/>
        <c:tickLblPos val="nextTo"/>
        <c:crossAx val="337858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516805555555555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'[1]Loan Schedule'!$H$3</c:f>
              <c:strCache>
                <c:ptCount val="1"/>
                <c:pt idx="0">
                  <c:v>Beginning Balance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'[1]Loan Schedule'!$G$4:$G$18</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'[1]Loan Schedule'!$H$4:$H$18</c:f>
              <c:numCache>
                <c:formatCode>General</c:formatCode>
                <c:ptCount val="15"/>
                <c:pt idx="0">
                  <c:v>150000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yVal>
          <c:smooth val="0"/>
          <c:extLst>
            <c:ext xmlns:c16="http://schemas.microsoft.com/office/drawing/2014/chart" uri="{C3380CC4-5D6E-409C-BE32-E72D297353CC}">
              <c16:uniqueId val="{00000000-E8D8-41F0-9200-25DC1BDEE1AC}"/>
            </c:ext>
          </c:extLst>
        </c:ser>
        <c:dLbls>
          <c:showLegendKey val="0"/>
          <c:showVal val="0"/>
          <c:showCatName val="0"/>
          <c:showSerName val="0"/>
          <c:showPercent val="0"/>
          <c:showBubbleSize val="0"/>
        </c:dLbls>
        <c:axId val="-1725311312"/>
        <c:axId val="-1725309680"/>
      </c:scatterChart>
      <c:valAx>
        <c:axId val="-17253113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5309680"/>
        <c:crosses val="autoZero"/>
        <c:crossBetween val="midCat"/>
      </c:valAx>
      <c:valAx>
        <c:axId val="-1725309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53113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List" dx="22" fmlaLink="$A$28" fmlaRange="$J$3:$J$7" sel="3"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5</xdr:col>
      <xdr:colOff>14287</xdr:colOff>
      <xdr:row>1</xdr:row>
      <xdr:rowOff>28575</xdr:rowOff>
    </xdr:from>
    <xdr:to>
      <xdr:col>11</xdr:col>
      <xdr:colOff>666751</xdr:colOff>
      <xdr:row>14</xdr:row>
      <xdr:rowOff>19050</xdr:rowOff>
    </xdr:to>
    <xdr:graphicFrame macro="">
      <xdr:nvGraphicFramePr>
        <xdr:cNvPr id="2" name="Chart 1">
          <a:extLst>
            <a:ext uri="{FF2B5EF4-FFF2-40B4-BE49-F238E27FC236}">
              <a16:creationId xmlns:a16="http://schemas.microsoft.com/office/drawing/2014/main" id="{8390AEF9-4096-5519-36E9-25728C0C6F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16</xdr:row>
      <xdr:rowOff>0</xdr:rowOff>
    </xdr:from>
    <xdr:to>
      <xdr:col>11</xdr:col>
      <xdr:colOff>466725</xdr:colOff>
      <xdr:row>28</xdr:row>
      <xdr:rowOff>180975</xdr:rowOff>
    </xdr:to>
    <xdr:graphicFrame macro="">
      <xdr:nvGraphicFramePr>
        <xdr:cNvPr id="3" name="Chart 2">
          <a:extLst>
            <a:ext uri="{FF2B5EF4-FFF2-40B4-BE49-F238E27FC236}">
              <a16:creationId xmlns:a16="http://schemas.microsoft.com/office/drawing/2014/main" id="{C4B45776-07A7-848F-6414-2969878C5D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xdr:colOff>
      <xdr:row>19</xdr:row>
      <xdr:rowOff>57150</xdr:rowOff>
    </xdr:from>
    <xdr:to>
      <xdr:col>16</xdr:col>
      <xdr:colOff>666750</xdr:colOff>
      <xdr:row>28</xdr:row>
      <xdr:rowOff>133349</xdr:rowOff>
    </xdr:to>
    <xdr:graphicFrame macro="">
      <xdr:nvGraphicFramePr>
        <xdr:cNvPr id="4" name="Chart 3">
          <a:extLst>
            <a:ext uri="{FF2B5EF4-FFF2-40B4-BE49-F238E27FC236}">
              <a16:creationId xmlns:a16="http://schemas.microsoft.com/office/drawing/2014/main" id="{5EF8A97A-743B-1449-72AB-45B82F041F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1152525</xdr:colOff>
      <xdr:row>3</xdr:row>
      <xdr:rowOff>57150</xdr:rowOff>
    </xdr:from>
    <xdr:to>
      <xdr:col>8</xdr:col>
      <xdr:colOff>104775</xdr:colOff>
      <xdr:row>13</xdr:row>
      <xdr:rowOff>85726</xdr:rowOff>
    </xdr:to>
    <xdr:graphicFrame macro="">
      <xdr:nvGraphicFramePr>
        <xdr:cNvPr id="2" name="Chart 1">
          <a:extLst>
            <a:ext uri="{FF2B5EF4-FFF2-40B4-BE49-F238E27FC236}">
              <a16:creationId xmlns:a16="http://schemas.microsoft.com/office/drawing/2014/main" id="{3468F4FE-C616-9E6A-F620-97E1AEDD8A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66675</xdr:colOff>
          <xdr:row>16</xdr:row>
          <xdr:rowOff>57150</xdr:rowOff>
        </xdr:from>
        <xdr:to>
          <xdr:col>2</xdr:col>
          <xdr:colOff>0</xdr:colOff>
          <xdr:row>23</xdr:row>
          <xdr:rowOff>123825</xdr:rowOff>
        </xdr:to>
        <xdr:sp macro="" textlink="">
          <xdr:nvSpPr>
            <xdr:cNvPr id="2049" name="List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428625</xdr:colOff>
      <xdr:row>7</xdr:row>
      <xdr:rowOff>85725</xdr:rowOff>
    </xdr:from>
    <xdr:to>
      <xdr:col>13</xdr:col>
      <xdr:colOff>280986</xdr:colOff>
      <xdr:row>11</xdr:row>
      <xdr:rowOff>28575</xdr:rowOff>
    </xdr:to>
    <xdr:graphicFrame macro="">
      <xdr:nvGraphicFramePr>
        <xdr:cNvPr id="3" name="Chart 2">
          <a:extLst>
            <a:ext uri="{FF2B5EF4-FFF2-40B4-BE49-F238E27FC236}">
              <a16:creationId xmlns:a16="http://schemas.microsoft.com/office/drawing/2014/main" id="{C7B49054-7A06-C1D0-5F00-B35C59A934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xdr:colOff>
      <xdr:row>16</xdr:row>
      <xdr:rowOff>171450</xdr:rowOff>
    </xdr:from>
    <xdr:to>
      <xdr:col>4</xdr:col>
      <xdr:colOff>704850</xdr:colOff>
      <xdr:row>31</xdr:row>
      <xdr:rowOff>107950</xdr:rowOff>
    </xdr:to>
    <mc:AlternateContent xmlns:mc="http://schemas.openxmlformats.org/markup-compatibility/2006" xmlns:a14="http://schemas.microsoft.com/office/drawing/2010/main">
      <mc:Choice Requires="a14">
        <xdr:graphicFrame macro="">
          <xdr:nvGraphicFramePr>
            <xdr:cNvPr id="14" name="Exenditure">
              <a:extLst>
                <a:ext uri="{FF2B5EF4-FFF2-40B4-BE49-F238E27FC236}">
                  <a16:creationId xmlns:a16="http://schemas.microsoft.com/office/drawing/2014/main" id="{058B87DD-023C-6F09-ED68-F2DF7825DCEC}"/>
                </a:ext>
              </a:extLst>
            </xdr:cNvPr>
            <xdr:cNvGraphicFramePr/>
          </xdr:nvGraphicFramePr>
          <xdr:xfrm>
            <a:off x="0" y="0"/>
            <a:ext cx="0" cy="0"/>
          </xdr:xfrm>
          <a:graphic>
            <a:graphicData uri="http://schemas.microsoft.com/office/drawing/2010/slicer">
              <sle:slicer xmlns:sle="http://schemas.microsoft.com/office/drawing/2010/slicer" name="Exenditure"/>
            </a:graphicData>
          </a:graphic>
        </xdr:graphicFrame>
      </mc:Choice>
      <mc:Fallback xmlns="">
        <xdr:sp macro="" textlink="">
          <xdr:nvSpPr>
            <xdr:cNvPr id="0" name=""/>
            <xdr:cNvSpPr>
              <a:spLocks noTextEdit="1"/>
            </xdr:cNvSpPr>
          </xdr:nvSpPr>
          <xdr:spPr>
            <a:xfrm>
              <a:off x="3352800" y="3267075"/>
              <a:ext cx="1828800" cy="2651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221527</xdr:colOff>
      <xdr:row>5</xdr:row>
      <xdr:rowOff>84570</xdr:rowOff>
    </xdr:from>
    <xdr:to>
      <xdr:col>18</xdr:col>
      <xdr:colOff>550573</xdr:colOff>
      <xdr:row>19</xdr:row>
      <xdr:rowOff>48202</xdr:rowOff>
    </xdr:to>
    <xdr:graphicFrame macro="">
      <xdr:nvGraphicFramePr>
        <xdr:cNvPr id="2" name="Chart 1">
          <a:extLst>
            <a:ext uri="{FF2B5EF4-FFF2-40B4-BE49-F238E27FC236}">
              <a16:creationId xmlns:a16="http://schemas.microsoft.com/office/drawing/2014/main" id="{6A469F5E-8BA6-4C87-B771-7396F5B82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Winston\EC\Excel%20Lessons\Intermediate\Loan%20%20Schedule%20Template.xlsx" TargetMode="External"/><Relationship Id="rId1" Type="http://schemas.openxmlformats.org/officeDocument/2006/relationships/externalLinkPath" Target="/Winston/EC/Excel%20Lessons/Intermediate/Loan%20%20Schedule%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oan Schedule"/>
      <sheetName val="Sheet1"/>
    </sheetNames>
    <sheetDataSet>
      <sheetData sheetId="0">
        <row r="3">
          <cell r="H3" t="str">
            <v>Beginning Balance</v>
          </cell>
        </row>
        <row r="4">
          <cell r="G4">
            <v>1</v>
          </cell>
          <cell r="H4">
            <v>150000</v>
          </cell>
        </row>
        <row r="5">
          <cell r="G5">
            <v>2</v>
          </cell>
          <cell r="H5">
            <v>0</v>
          </cell>
        </row>
        <row r="6">
          <cell r="G6">
            <v>3</v>
          </cell>
          <cell r="H6">
            <v>0</v>
          </cell>
        </row>
        <row r="7">
          <cell r="G7">
            <v>4</v>
          </cell>
          <cell r="H7">
            <v>0</v>
          </cell>
        </row>
        <row r="8">
          <cell r="G8">
            <v>5</v>
          </cell>
          <cell r="H8">
            <v>0</v>
          </cell>
        </row>
        <row r="9">
          <cell r="G9">
            <v>6</v>
          </cell>
          <cell r="H9">
            <v>0</v>
          </cell>
        </row>
        <row r="10">
          <cell r="G10">
            <v>7</v>
          </cell>
          <cell r="H10">
            <v>0</v>
          </cell>
        </row>
        <row r="11">
          <cell r="G11">
            <v>8</v>
          </cell>
          <cell r="H11">
            <v>0</v>
          </cell>
        </row>
        <row r="12">
          <cell r="G12">
            <v>9</v>
          </cell>
          <cell r="H12">
            <v>0</v>
          </cell>
        </row>
        <row r="13">
          <cell r="G13">
            <v>10</v>
          </cell>
          <cell r="H13">
            <v>0</v>
          </cell>
        </row>
        <row r="14">
          <cell r="G14">
            <v>11</v>
          </cell>
          <cell r="H14">
            <v>0</v>
          </cell>
        </row>
        <row r="15">
          <cell r="G15">
            <v>12</v>
          </cell>
          <cell r="H15">
            <v>0</v>
          </cell>
        </row>
        <row r="16">
          <cell r="G16">
            <v>13</v>
          </cell>
          <cell r="H16">
            <v>0</v>
          </cell>
        </row>
        <row r="17">
          <cell r="G17">
            <v>14</v>
          </cell>
          <cell r="H17">
            <v>0</v>
          </cell>
        </row>
        <row r="18">
          <cell r="G18">
            <v>15</v>
          </cell>
          <cell r="H18">
            <v>0</v>
          </cell>
        </row>
      </sheetData>
      <sheetData sheetId="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5553.384985763892" backgroundQuery="1" createdVersion="8" refreshedVersion="8" minRefreshableVersion="3" recordCount="0" supportSubquery="1" supportAdvancedDrill="1" xr:uid="{3FB8078A-8F17-41EA-8098-D661EB638664}">
  <cacheSource type="external" connectionId="1"/>
  <cacheFields count="6">
    <cacheField name="[Expence_Table].[Exenditure].[Exenditure]" caption="Exenditure" numFmtId="0" level="1">
      <sharedItems count="12">
        <s v="Airtime"/>
        <s v="clothes"/>
        <s v="Data"/>
        <s v="DSTV"/>
        <s v="Electicity"/>
        <s v="Entertainment"/>
        <s v="Food"/>
        <s v="Net flix"/>
        <s v="Rent"/>
        <s v="Restaurant"/>
        <s v="School Fees"/>
        <s v="Utilities"/>
      </sharedItems>
    </cacheField>
    <cacheField name="[Measures].[Sum of B-Total]" caption="Sum of B-Total" numFmtId="0" hierarchy="27" level="32767"/>
    <cacheField name="[Measures].[Sum of A-Total]" caption="Sum of A-Total" numFmtId="0" hierarchy="28" level="32767"/>
    <cacheField name="[Measures].[Actual_Over_Budget]" caption="Actual_Over_Budget" numFmtId="0" hierarchy="29" level="32767"/>
    <cacheField name="[Measures].[_Actual_Over_Budget Status]" caption="_Actual_Over_Budget Status" numFmtId="0" hierarchy="33" level="32767"/>
    <cacheField name="Dummy0" numFmtId="0" hierarchy="34" level="32767">
      <extLst>
        <ext xmlns:x14="http://schemas.microsoft.com/office/spreadsheetml/2009/9/main" uri="{63CAB8AC-B538-458d-9737-405883B0398D}">
          <x14:cacheField ignore="1"/>
        </ext>
      </extLst>
    </cacheField>
  </cacheFields>
  <cacheHierarchies count="35">
    <cacheHierarchy uniqueName="[Expence_Table].[Exenditure]" caption="Exenditure" attribute="1" defaultMemberUniqueName="[Expence_Table].[Exenditure].[All]" allUniqueName="[Expence_Table].[Exenditure].[All]" dimensionUniqueName="[Expence_Table]" displayFolder="" count="2" memberValueDatatype="130" unbalanced="0">
      <fieldsUsage count="2">
        <fieldUsage x="-1"/>
        <fieldUsage x="0"/>
      </fieldsUsage>
    </cacheHierarchy>
    <cacheHierarchy uniqueName="[Expence_Table].[B-January]" caption="B-January" attribute="1" defaultMemberUniqueName="[Expence_Table].[B-January].[All]" allUniqueName="[Expence_Table].[B-January].[All]" dimensionUniqueName="[Expence_Table]" displayFolder="" count="2" memberValueDatatype="20" unbalanced="0"/>
    <cacheHierarchy uniqueName="[Expence_Table].[A-January]" caption="A-January" attribute="1" defaultMemberUniqueName="[Expence_Table].[A-January].[All]" allUniqueName="[Expence_Table].[A-January].[All]" dimensionUniqueName="[Expence_Table]" displayFolder="" count="2" memberValueDatatype="20" unbalanced="0"/>
    <cacheHierarchy uniqueName="[Expence_Table].[B-February]" caption="B-February" attribute="1" defaultMemberUniqueName="[Expence_Table].[B-February].[All]" allUniqueName="[Expence_Table].[B-February].[All]" dimensionUniqueName="[Expence_Table]" displayFolder="" count="2" memberValueDatatype="20" unbalanced="0"/>
    <cacheHierarchy uniqueName="[Expence_Table].[A-February]" caption="A-February" attribute="1" defaultMemberUniqueName="[Expence_Table].[A-February].[All]" allUniqueName="[Expence_Table].[A-February].[All]" dimensionUniqueName="[Expence_Table]" displayFolder="" count="2" memberValueDatatype="20" unbalanced="0"/>
    <cacheHierarchy uniqueName="[Expence_Table].[B-March]" caption="B-March" attribute="1" defaultMemberUniqueName="[Expence_Table].[B-March].[All]" allUniqueName="[Expence_Table].[B-March].[All]" dimensionUniqueName="[Expence_Table]" displayFolder="" count="2" memberValueDatatype="20" unbalanced="0"/>
    <cacheHierarchy uniqueName="[Expence_Table].[A-March]" caption="A-March" attribute="1" defaultMemberUniqueName="[Expence_Table].[A-March].[All]" allUniqueName="[Expence_Table].[A-March].[All]" dimensionUniqueName="[Expence_Table]" displayFolder="" count="2" memberValueDatatype="20" unbalanced="0"/>
    <cacheHierarchy uniqueName="[Expence_Table].[B-April]" caption="B-April" attribute="1" defaultMemberUniqueName="[Expence_Table].[B-April].[All]" allUniqueName="[Expence_Table].[B-April].[All]" dimensionUniqueName="[Expence_Table]" displayFolder="" count="2" memberValueDatatype="20" unbalanced="0"/>
    <cacheHierarchy uniqueName="[Expence_Table].[A-April]" caption="A-April" attribute="1" defaultMemberUniqueName="[Expence_Table].[A-April].[All]" allUniqueName="[Expence_Table].[A-April].[All]" dimensionUniqueName="[Expence_Table]" displayFolder="" count="2" memberValueDatatype="20" unbalanced="0"/>
    <cacheHierarchy uniqueName="[Expence_Table].[B-May]" caption="B-May" attribute="1" defaultMemberUniqueName="[Expence_Table].[B-May].[All]" allUniqueName="[Expence_Table].[B-May].[All]" dimensionUniqueName="[Expence_Table]" displayFolder="" count="2" memberValueDatatype="20" unbalanced="0"/>
    <cacheHierarchy uniqueName="[Expence_Table].[A-May]" caption="A-May" attribute="1" defaultMemberUniqueName="[Expence_Table].[A-May].[All]" allUniqueName="[Expence_Table].[A-May].[All]" dimensionUniqueName="[Expence_Table]" displayFolder="" count="2" memberValueDatatype="20" unbalanced="0"/>
    <cacheHierarchy uniqueName="[Expence_Table].[B-June]" caption="B-June" attribute="1" defaultMemberUniqueName="[Expence_Table].[B-June].[All]" allUniqueName="[Expence_Table].[B-June].[All]" dimensionUniqueName="[Expence_Table]" displayFolder="" count="2" memberValueDatatype="20" unbalanced="0"/>
    <cacheHierarchy uniqueName="[Expence_Table].[A-June]" caption="A-June" attribute="1" defaultMemberUniqueName="[Expence_Table].[A-June].[All]" allUniqueName="[Expence_Table].[A-June].[All]" dimensionUniqueName="[Expence_Table]" displayFolder="" count="2" memberValueDatatype="20" unbalanced="0"/>
    <cacheHierarchy uniqueName="[Expence_Table].[B-July]" caption="B-July" attribute="1" defaultMemberUniqueName="[Expence_Table].[B-July].[All]" allUniqueName="[Expence_Table].[B-July].[All]" dimensionUniqueName="[Expence_Table]" displayFolder="" count="2" memberValueDatatype="20" unbalanced="0"/>
    <cacheHierarchy uniqueName="[Expence_Table].[A-July]" caption="A-July" attribute="1" defaultMemberUniqueName="[Expence_Table].[A-July].[All]" allUniqueName="[Expence_Table].[A-July].[All]" dimensionUniqueName="[Expence_Table]" displayFolder="" count="2" memberValueDatatype="20" unbalanced="0"/>
    <cacheHierarchy uniqueName="[Expence_Table].[B-August]" caption="B-August" attribute="1" defaultMemberUniqueName="[Expence_Table].[B-August].[All]" allUniqueName="[Expence_Table].[B-August].[All]" dimensionUniqueName="[Expence_Table]" displayFolder="" count="2" memberValueDatatype="20" unbalanced="0"/>
    <cacheHierarchy uniqueName="[Expence_Table].[A-August]" caption="A-August" attribute="1" defaultMemberUniqueName="[Expence_Table].[A-August].[All]" allUniqueName="[Expence_Table].[A-August].[All]" dimensionUniqueName="[Expence_Table]" displayFolder="" count="2" memberValueDatatype="20" unbalanced="0"/>
    <cacheHierarchy uniqueName="[Expence_Table].[B-September]" caption="B-September" attribute="1" defaultMemberUniqueName="[Expence_Table].[B-September].[All]" allUniqueName="[Expence_Table].[B-September].[All]" dimensionUniqueName="[Expence_Table]" displayFolder="" count="2" memberValueDatatype="20" unbalanced="0"/>
    <cacheHierarchy uniqueName="[Expence_Table].[A-September]" caption="A-September" attribute="1" defaultMemberUniqueName="[Expence_Table].[A-September].[All]" allUniqueName="[Expence_Table].[A-September].[All]" dimensionUniqueName="[Expence_Table]" displayFolder="" count="2" memberValueDatatype="20" unbalanced="0"/>
    <cacheHierarchy uniqueName="[Expence_Table].[B-October]" caption="B-October" attribute="1" defaultMemberUniqueName="[Expence_Table].[B-October].[All]" allUniqueName="[Expence_Table].[B-October].[All]" dimensionUniqueName="[Expence_Table]" displayFolder="" count="2" memberValueDatatype="20" unbalanced="0"/>
    <cacheHierarchy uniqueName="[Expence_Table].[A-October]" caption="A-October" attribute="1" defaultMemberUniqueName="[Expence_Table].[A-October].[All]" allUniqueName="[Expence_Table].[A-October].[All]" dimensionUniqueName="[Expence_Table]" displayFolder="" count="2" memberValueDatatype="20" unbalanced="0"/>
    <cacheHierarchy uniqueName="[Expence_Table].[B-November]" caption="B-November" attribute="1" defaultMemberUniqueName="[Expence_Table].[B-November].[All]" allUniqueName="[Expence_Table].[B-November].[All]" dimensionUniqueName="[Expence_Table]" displayFolder="" count="2" memberValueDatatype="20" unbalanced="0"/>
    <cacheHierarchy uniqueName="[Expence_Table].[A-November]" caption="A-November" attribute="1" defaultMemberUniqueName="[Expence_Table].[A-November].[All]" allUniqueName="[Expence_Table].[A-November].[All]" dimensionUniqueName="[Expence_Table]" displayFolder="" count="2" memberValueDatatype="20" unbalanced="0"/>
    <cacheHierarchy uniqueName="[Expence_Table].[B-December]" caption="B-December" attribute="1" defaultMemberUniqueName="[Expence_Table].[B-December].[All]" allUniqueName="[Expence_Table].[B-December].[All]" dimensionUniqueName="[Expence_Table]" displayFolder="" count="2" memberValueDatatype="20" unbalanced="0"/>
    <cacheHierarchy uniqueName="[Expence_Table].[A-December]" caption="A-December" attribute="1" defaultMemberUniqueName="[Expence_Table].[A-December].[All]" allUniqueName="[Expence_Table].[A-December].[All]" dimensionUniqueName="[Expence_Table]" displayFolder="" count="2" memberValueDatatype="20" unbalanced="0"/>
    <cacheHierarchy uniqueName="[Expence_Table].[B-Total]" caption="B-Total" attribute="1" defaultMemberUniqueName="[Expence_Table].[B-Total].[All]" allUniqueName="[Expence_Table].[B-Total].[All]" dimensionUniqueName="[Expence_Table]" displayFolder="" count="2" memberValueDatatype="20" unbalanced="0"/>
    <cacheHierarchy uniqueName="[Expence_Table].[A-Total]" caption="A-Total" attribute="1" defaultMemberUniqueName="[Expence_Table].[A-Total].[All]" allUniqueName="[Expence_Table].[A-Total].[All]" dimensionUniqueName="[Expence_Table]" displayFolder="" count="2" memberValueDatatype="20" unbalanced="0"/>
    <cacheHierarchy uniqueName="[Measures].[Sum of B-Total]" caption="Sum of B-Total" measure="1" displayFolder="" measureGroup="Expence_Table" count="0" oneField="1">
      <fieldsUsage count="1">
        <fieldUsage x="1"/>
      </fieldsUsage>
      <extLst>
        <ext xmlns:x15="http://schemas.microsoft.com/office/spreadsheetml/2010/11/main" uri="{B97F6D7D-B522-45F9-BDA1-12C45D357490}">
          <x15:cacheHierarchy aggregatedColumn="25"/>
        </ext>
      </extLst>
    </cacheHierarchy>
    <cacheHierarchy uniqueName="[Measures].[Sum of A-Total]" caption="Sum of A-Total" measure="1" displayFolder="" measureGroup="Expence_Table" count="0" oneField="1">
      <fieldsUsage count="1">
        <fieldUsage x="2"/>
      </fieldsUsage>
      <extLst>
        <ext xmlns:x15="http://schemas.microsoft.com/office/spreadsheetml/2010/11/main" uri="{B97F6D7D-B522-45F9-BDA1-12C45D357490}">
          <x15:cacheHierarchy aggregatedColumn="26"/>
        </ext>
      </extLst>
    </cacheHierarchy>
    <cacheHierarchy uniqueName="[Measures].[Actual_Over_Budget]" caption="Actual_Over_Budget" measure="1" displayFolder="" measureGroup="Expence_Table" count="0" oneField="1">
      <fieldsUsage count="1">
        <fieldUsage x="3"/>
      </fieldsUsage>
    </cacheHierarchy>
    <cacheHierarchy uniqueName="[Measures].[__XL_Count Expence_Table]" caption="__XL_Count Expence_Table" measure="1" displayFolder="" measureGroup="Expence_Table" count="0" hidden="1"/>
    <cacheHierarchy uniqueName="[Measures].[__No measures defined]" caption="__No measures defined" measure="1" displayFolder="" count="0" hidden="1"/>
    <cacheHierarchy uniqueName="[Measures].[_Actual_Over_Budget Goal]" caption="_Actual_Over_Budget Goal" measure="1" displayFolder="" measureGroup="Expence_Table" count="0" hidden="1"/>
    <cacheHierarchy uniqueName="[Measures].[_Actual_Over_Budget Status]" caption="_Actual_Over_Budget Status" measure="1" iconSet="7" displayFolder="" measureGroup="Expence_Table" count="0" oneField="1" hidden="1">
      <fieldsUsage count="1">
        <fieldUsage x="4"/>
      </fieldsUsage>
    </cacheHierarchy>
    <cacheHierarchy uniqueName="Dummy0" caption="Exenditure" measure="1" count="0">
      <extLst>
        <ext xmlns:x14="http://schemas.microsoft.com/office/spreadsheetml/2009/9/main" uri="{8CF416AD-EC4C-4aba-99F5-12A058AE0983}">
          <x14:cacheHierarchy ignore="1"/>
        </ext>
      </extLst>
    </cacheHierarchy>
  </cacheHierarchies>
  <kpis count="1">
    <kpi uniqueName="Actual_Over_Budget" caption="Actual_Over_Budget" displayFolder="" measureGroup="Expence_Table" parent="" value="[Measures].[Actual_Over_Budget]" goal="[Measures].[_Actual_Over_Budget Goal]" status="[Measures].[_Actual_Over_Budget Status]" trend="" weight=""/>
  </kpis>
  <dimensions count="2">
    <dimension name="Expence_Table" uniqueName="[Expence_Table]" caption="Expence_Table"/>
    <dimension measure="1" name="Measures" uniqueName="[Measures]" caption="Measures"/>
  </dimensions>
  <measureGroups count="1">
    <measureGroup name="Expence_Table" caption="Expence_Tabl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5553.385618981483" createdVersion="8" refreshedVersion="8" minRefreshableVersion="3" recordCount="12" xr:uid="{B318E4AD-6A06-4286-8DE1-56CB6CC4C907}">
  <cacheSource type="worksheet">
    <worksheetSource name="Expence_Table"/>
  </cacheSource>
  <cacheFields count="27">
    <cacheField name="Exenditure" numFmtId="0">
      <sharedItems count="12">
        <s v="Rent"/>
        <s v="Data"/>
        <s v="Airtime"/>
        <s v="DSTV"/>
        <s v="Net flix"/>
        <s v="Entertainment"/>
        <s v="School Fees"/>
        <s v="Food"/>
        <s v="Electicity"/>
        <s v="Utilities"/>
        <s v="clothes"/>
        <s v="Restaurant"/>
      </sharedItems>
    </cacheField>
    <cacheField name="B-January" numFmtId="164">
      <sharedItems containsSemiMixedTypes="0" containsString="0" containsNumber="1" containsInteger="1" minValue="0" maxValue="600"/>
    </cacheField>
    <cacheField name="A-January" numFmtId="164">
      <sharedItems containsSemiMixedTypes="0" containsString="0" containsNumber="1" containsInteger="1" minValue="7" maxValue="450"/>
    </cacheField>
    <cacheField name="B-February" numFmtId="164">
      <sharedItems containsSemiMixedTypes="0" containsString="0" containsNumber="1" containsInteger="1" minValue="0" maxValue="450"/>
    </cacheField>
    <cacheField name="A-February" numFmtId="164">
      <sharedItems containsSemiMixedTypes="0" containsString="0" containsNumber="1" containsInteger="1" minValue="5" maxValue="450"/>
    </cacheField>
    <cacheField name="B-March" numFmtId="164">
      <sharedItems containsString="0" containsBlank="1" containsNumber="1" containsInteger="1" minValue="10" maxValue="600"/>
    </cacheField>
    <cacheField name="A-March" numFmtId="164">
      <sharedItems containsString="0" containsBlank="1" containsNumber="1" containsInteger="1" minValue="0" maxValue="14"/>
    </cacheField>
    <cacheField name="B-April" numFmtId="164">
      <sharedItems containsString="0" containsBlank="1" containsNumber="1" containsInteger="1" minValue="10" maxValue="600"/>
    </cacheField>
    <cacheField name="A-April" numFmtId="164">
      <sharedItems containsString="0" containsBlank="1" containsNumber="1" containsInteger="1" minValue="0" maxValue="0"/>
    </cacheField>
    <cacheField name="B-May" numFmtId="164">
      <sharedItems containsString="0" containsBlank="1" containsNumber="1" containsInteger="1" minValue="10" maxValue="600"/>
    </cacheField>
    <cacheField name="A-May" numFmtId="164">
      <sharedItems containsString="0" containsBlank="1" containsNumber="1" containsInteger="1" minValue="0" maxValue="0"/>
    </cacheField>
    <cacheField name="B-June" numFmtId="164">
      <sharedItems containsString="0" containsBlank="1" containsNumber="1" containsInteger="1" minValue="10" maxValue="600"/>
    </cacheField>
    <cacheField name="A-June" numFmtId="164">
      <sharedItems containsString="0" containsBlank="1" containsNumber="1" containsInteger="1" minValue="0" maxValue="0"/>
    </cacheField>
    <cacheField name="B-July" numFmtId="164">
      <sharedItems containsString="0" containsBlank="1" containsNumber="1" containsInteger="1" minValue="10" maxValue="600"/>
    </cacheField>
    <cacheField name="A-July" numFmtId="164">
      <sharedItems containsString="0" containsBlank="1" containsNumber="1" containsInteger="1" minValue="0" maxValue="0"/>
    </cacheField>
    <cacheField name="B-August" numFmtId="164">
      <sharedItems containsString="0" containsBlank="1" containsNumber="1" containsInteger="1" minValue="10" maxValue="600"/>
    </cacheField>
    <cacheField name="A-August" numFmtId="164">
      <sharedItems containsString="0" containsBlank="1" containsNumber="1" containsInteger="1" minValue="0" maxValue="0"/>
    </cacheField>
    <cacheField name="B-September" numFmtId="164">
      <sharedItems containsString="0" containsBlank="1" containsNumber="1" containsInteger="1" minValue="10" maxValue="600"/>
    </cacheField>
    <cacheField name="A-September" numFmtId="164">
      <sharedItems containsString="0" containsBlank="1" containsNumber="1" containsInteger="1" minValue="0" maxValue="0"/>
    </cacheField>
    <cacheField name="B-October" numFmtId="164">
      <sharedItems containsString="0" containsBlank="1" containsNumber="1" containsInteger="1" minValue="10" maxValue="600"/>
    </cacheField>
    <cacheField name="A-October" numFmtId="164">
      <sharedItems containsString="0" containsBlank="1" containsNumber="1" containsInteger="1" minValue="0" maxValue="0"/>
    </cacheField>
    <cacheField name="B-November" numFmtId="164">
      <sharedItems containsString="0" containsBlank="1" containsNumber="1" containsInteger="1" minValue="10" maxValue="600"/>
    </cacheField>
    <cacheField name="A-November" numFmtId="164">
      <sharedItems containsString="0" containsBlank="1" containsNumber="1" containsInteger="1" minValue="0" maxValue="0"/>
    </cacheField>
    <cacheField name="B-December" numFmtId="164">
      <sharedItems containsString="0" containsBlank="1" containsNumber="1" containsInteger="1" minValue="10" maxValue="600"/>
    </cacheField>
    <cacheField name="A-December" numFmtId="164">
      <sharedItems containsString="0" containsBlank="1" containsNumber="1" containsInteger="1" minValue="0" maxValue="0"/>
    </cacheField>
    <cacheField name="B-Total" numFmtId="164">
      <sharedItems containsSemiMixedTypes="0" containsString="0" containsNumber="1" containsInteger="1" minValue="25" maxValue="6600"/>
    </cacheField>
    <cacheField name="A-Total" numFmtId="164">
      <sharedItems containsSemiMixedTypes="0" containsString="0" containsNumber="1" containsInteger="1" minValue="12" maxValue="900"/>
    </cacheField>
  </cacheFields>
  <extLst>
    <ext xmlns:x14="http://schemas.microsoft.com/office/spreadsheetml/2009/9/main" uri="{725AE2AE-9491-48be-B2B4-4EB974FC3084}">
      <x14:pivotCacheDefinition pivotCacheId="12079740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n v="450"/>
    <n v="450"/>
    <n v="450"/>
    <n v="450"/>
    <n v="450"/>
    <n v="0"/>
    <n v="450"/>
    <n v="0"/>
    <n v="450"/>
    <n v="0"/>
    <n v="450"/>
    <n v="0"/>
    <n v="450"/>
    <n v="0"/>
    <n v="450"/>
    <n v="0"/>
    <n v="450"/>
    <n v="0"/>
    <n v="450"/>
    <n v="0"/>
    <n v="450"/>
    <n v="0"/>
    <n v="450"/>
    <n v="0"/>
    <n v="5400"/>
    <n v="900"/>
  </r>
  <r>
    <x v="1"/>
    <n v="30"/>
    <n v="50"/>
    <n v="30"/>
    <n v="50"/>
    <n v="30"/>
    <m/>
    <n v="30"/>
    <m/>
    <n v="30"/>
    <m/>
    <n v="30"/>
    <m/>
    <n v="30"/>
    <m/>
    <n v="30"/>
    <m/>
    <n v="30"/>
    <m/>
    <n v="30"/>
    <m/>
    <n v="30"/>
    <m/>
    <n v="30"/>
    <m/>
    <n v="360"/>
    <n v="100"/>
  </r>
  <r>
    <x v="2"/>
    <n v="10"/>
    <n v="7"/>
    <n v="10"/>
    <n v="5"/>
    <n v="10"/>
    <m/>
    <n v="10"/>
    <m/>
    <n v="10"/>
    <m/>
    <n v="10"/>
    <m/>
    <n v="10"/>
    <m/>
    <n v="10"/>
    <m/>
    <n v="10"/>
    <m/>
    <n v="10"/>
    <m/>
    <n v="10"/>
    <m/>
    <n v="10"/>
    <m/>
    <n v="120"/>
    <n v="12"/>
  </r>
  <r>
    <x v="3"/>
    <n v="29"/>
    <n v="29"/>
    <n v="29"/>
    <n v="29"/>
    <n v="29"/>
    <m/>
    <n v="29"/>
    <m/>
    <n v="29"/>
    <m/>
    <n v="29"/>
    <m/>
    <n v="29"/>
    <m/>
    <n v="29"/>
    <m/>
    <n v="29"/>
    <m/>
    <n v="29"/>
    <m/>
    <n v="29"/>
    <m/>
    <n v="29"/>
    <m/>
    <n v="348"/>
    <n v="58"/>
  </r>
  <r>
    <x v="4"/>
    <n v="12"/>
    <n v="12"/>
    <n v="12"/>
    <n v="12"/>
    <n v="12"/>
    <m/>
    <n v="12"/>
    <m/>
    <n v="12"/>
    <m/>
    <n v="12"/>
    <m/>
    <n v="12"/>
    <m/>
    <n v="12"/>
    <m/>
    <n v="12"/>
    <m/>
    <n v="12"/>
    <m/>
    <n v="12"/>
    <m/>
    <n v="12"/>
    <m/>
    <n v="144"/>
    <n v="24"/>
  </r>
  <r>
    <x v="5"/>
    <n v="50"/>
    <n v="40"/>
    <n v="50"/>
    <n v="10"/>
    <n v="50"/>
    <m/>
    <n v="50"/>
    <m/>
    <n v="50"/>
    <m/>
    <n v="50"/>
    <m/>
    <n v="50"/>
    <m/>
    <n v="50"/>
    <m/>
    <n v="50"/>
    <m/>
    <n v="50"/>
    <m/>
    <n v="50"/>
    <m/>
    <n v="50"/>
    <m/>
    <n v="600"/>
    <n v="50"/>
  </r>
  <r>
    <x v="6"/>
    <n v="600"/>
    <n v="450"/>
    <n v="0"/>
    <n v="150"/>
    <n v="600"/>
    <m/>
    <n v="600"/>
    <m/>
    <n v="600"/>
    <m/>
    <n v="600"/>
    <m/>
    <n v="600"/>
    <m/>
    <n v="600"/>
    <m/>
    <n v="600"/>
    <m/>
    <n v="600"/>
    <m/>
    <n v="600"/>
    <m/>
    <n v="600"/>
    <m/>
    <n v="6600"/>
    <n v="600"/>
  </r>
  <r>
    <x v="7"/>
    <n v="100"/>
    <n v="120"/>
    <n v="100"/>
    <n v="120"/>
    <n v="100"/>
    <m/>
    <n v="100"/>
    <m/>
    <n v="100"/>
    <m/>
    <n v="100"/>
    <m/>
    <n v="100"/>
    <m/>
    <n v="100"/>
    <m/>
    <n v="100"/>
    <m/>
    <n v="100"/>
    <m/>
    <n v="100"/>
    <m/>
    <n v="100"/>
    <m/>
    <n v="1200"/>
    <n v="240"/>
  </r>
  <r>
    <x v="8"/>
    <n v="30"/>
    <n v="50"/>
    <n v="30"/>
    <n v="40"/>
    <n v="30"/>
    <m/>
    <n v="30"/>
    <m/>
    <n v="30"/>
    <m/>
    <n v="30"/>
    <m/>
    <n v="30"/>
    <m/>
    <n v="30"/>
    <m/>
    <n v="30"/>
    <m/>
    <n v="30"/>
    <m/>
    <n v="30"/>
    <m/>
    <n v="30"/>
    <m/>
    <n v="360"/>
    <n v="90"/>
  </r>
  <r>
    <x v="9"/>
    <n v="100"/>
    <n v="90"/>
    <n v="80"/>
    <n v="80"/>
    <m/>
    <m/>
    <m/>
    <m/>
    <m/>
    <m/>
    <m/>
    <m/>
    <m/>
    <m/>
    <m/>
    <m/>
    <m/>
    <m/>
    <m/>
    <m/>
    <m/>
    <m/>
    <m/>
    <m/>
    <n v="180"/>
    <n v="170"/>
  </r>
  <r>
    <x v="10"/>
    <n v="25"/>
    <n v="20"/>
    <n v="0"/>
    <n v="10"/>
    <m/>
    <m/>
    <m/>
    <m/>
    <m/>
    <m/>
    <m/>
    <m/>
    <m/>
    <m/>
    <m/>
    <m/>
    <m/>
    <m/>
    <m/>
    <m/>
    <m/>
    <m/>
    <m/>
    <m/>
    <n v="25"/>
    <n v="30"/>
  </r>
  <r>
    <x v="11"/>
    <n v="0"/>
    <n v="12"/>
    <n v="10"/>
    <n v="12"/>
    <n v="20"/>
    <n v="14"/>
    <m/>
    <m/>
    <m/>
    <m/>
    <m/>
    <m/>
    <m/>
    <m/>
    <m/>
    <m/>
    <m/>
    <m/>
    <m/>
    <m/>
    <m/>
    <m/>
    <m/>
    <m/>
    <n v="30"/>
    <n v="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31A929-B101-47BB-B11B-8D1DFB019F67}" name="PivotTable5"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8:C31" firstHeaderRow="0" firstDataRow="1" firstDataCol="1"/>
  <pivotFields count="27">
    <pivotField axis="axisRow" showAll="0">
      <items count="13">
        <item x="2"/>
        <item x="10"/>
        <item x="1"/>
        <item x="3"/>
        <item x="8"/>
        <item x="5"/>
        <item x="7"/>
        <item x="4"/>
        <item x="0"/>
        <item x="11"/>
        <item x="6"/>
        <item x="9"/>
        <item t="default"/>
      </items>
    </pivotField>
    <pivotField numFmtId="164" showAll="0"/>
    <pivotField numFmtId="164" showAll="0"/>
    <pivotField numFmtId="164"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dataField="1" numFmtId="164" showAll="0"/>
  </pivotFields>
  <rowFields count="1">
    <field x="0"/>
  </rowFields>
  <rowItems count="13">
    <i>
      <x/>
    </i>
    <i>
      <x v="1"/>
    </i>
    <i>
      <x v="2"/>
    </i>
    <i>
      <x v="3"/>
    </i>
    <i>
      <x v="4"/>
    </i>
    <i>
      <x v="5"/>
    </i>
    <i>
      <x v="6"/>
    </i>
    <i>
      <x v="7"/>
    </i>
    <i>
      <x v="8"/>
    </i>
    <i>
      <x v="9"/>
    </i>
    <i>
      <x v="10"/>
    </i>
    <i>
      <x v="11"/>
    </i>
    <i t="grand">
      <x/>
    </i>
  </rowItems>
  <colFields count="1">
    <field x="-2"/>
  </colFields>
  <colItems count="2">
    <i>
      <x/>
    </i>
    <i i="1">
      <x v="1"/>
    </i>
  </colItems>
  <dataFields count="2">
    <dataField name="Sum of A-Total" fld="26" baseField="0" baseItem="0"/>
    <dataField name="% Total Expences" fld="26" showDataAs="percentOfCol" baseField="0" baseItem="0" numFmtId="10"/>
  </dataFields>
  <formats count="8">
    <format dxfId="45">
      <pivotArea outline="0" collapsedLevelsAreSubtotals="1" fieldPosition="0"/>
    </format>
    <format dxfId="44">
      <pivotArea outline="0" fieldPosition="0">
        <references count="1">
          <reference field="4294967294" count="1">
            <x v="1"/>
          </reference>
        </references>
      </pivotArea>
    </format>
    <format dxfId="43">
      <pivotArea type="all" dataOnly="0" outline="0" fieldPosition="0"/>
    </format>
    <format dxfId="42">
      <pivotArea outline="0" collapsedLevelsAreSubtotals="1" fieldPosition="0"/>
    </format>
    <format dxfId="41">
      <pivotArea field="0" type="button" dataOnly="0" labelOnly="1" outline="0" axis="axisRow" fieldPosition="0"/>
    </format>
    <format dxfId="40">
      <pivotArea dataOnly="0" labelOnly="1" fieldPosition="0">
        <references count="1">
          <reference field="0" count="0"/>
        </references>
      </pivotArea>
    </format>
    <format dxfId="39">
      <pivotArea dataOnly="0" labelOnly="1" grandRow="1" outline="0" fieldPosition="0"/>
    </format>
    <format dxfId="38">
      <pivotArea dataOnly="0" labelOnly="1" outline="0" fieldPosition="0">
        <references count="1">
          <reference field="4294967294" count="2">
            <x v="0"/>
            <x v="1"/>
          </reference>
        </references>
      </pivotArea>
    </format>
  </formats>
  <conditionalFormats count="1">
    <conditionalFormat priority="1">
      <pivotAreas count="1">
        <pivotArea type="data" collapsedLevelsAreSubtotals="1" fieldPosition="0">
          <references count="2">
            <reference field="4294967294" count="1" selected="0">
              <x v="1"/>
            </reference>
            <reference field="0" count="12">
              <x v="0"/>
              <x v="1"/>
              <x v="2"/>
              <x v="3"/>
              <x v="4"/>
              <x v="5"/>
              <x v="6"/>
              <x v="7"/>
              <x v="8"/>
              <x v="9"/>
              <x v="10"/>
              <x v="1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C41C706-3A89-4643-BC63-F765031CF579}" name="PivotTable4" cacheId="0" applyNumberFormats="0" applyBorderFormats="0" applyFontFormats="0" applyPatternFormats="0" applyAlignmentFormats="0" applyWidthHeightFormats="1" dataCaption="Values" tag="a1c42c07-a15d-4339-8843-849b3656e3bf" updatedVersion="8" minRefreshableVersion="3" useAutoFormatting="1" subtotalHiddenItems="1" itemPrintTitles="1" createdVersion="8" indent="0" outline="1" outlineData="1" multipleFieldFilters="0" chartFormat="1" rowHeaderCaption="EXPENCES">
  <location ref="A2:F15" firstHeaderRow="0" firstDataRow="1" firstDataCol="1"/>
  <pivotFields count="6">
    <pivotField axis="axisRow"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compact="0" outline="0" subtotalTop="0" dragToRow="0" dragToCol="0" dragToPage="0" dragToData="0" dragOff="0" showAll="0" topAutoShow="0" includeNewItemsInFilter="1" itemPageCount="0" rankBy="0" defaultSubtotal="0">
      <extLst>
        <ext xmlns:x14="http://schemas.microsoft.com/office/spreadsheetml/2009/9/main" uri="{2946ED86-A175-432a-8AC1-64E0C546D7DE}">
          <x14:pivotField ignore="1"/>
        </ext>
      </extLst>
    </pivotField>
  </pivotFields>
  <rowFields count="1">
    <field x="0"/>
  </rowFields>
  <rowItems count="13">
    <i>
      <x/>
    </i>
    <i>
      <x v="1"/>
    </i>
    <i>
      <x v="2"/>
    </i>
    <i>
      <x v="3"/>
    </i>
    <i>
      <x v="4"/>
    </i>
    <i>
      <x v="5"/>
    </i>
    <i>
      <x v="6"/>
    </i>
    <i>
      <x v="7"/>
    </i>
    <i>
      <x v="8"/>
    </i>
    <i>
      <x v="9"/>
    </i>
    <i>
      <x v="10"/>
    </i>
    <i>
      <x v="11"/>
    </i>
    <i t="grand">
      <x/>
    </i>
  </rowItems>
  <colFields count="1">
    <field x="-2"/>
  </colFields>
  <colItems count="5">
    <i>
      <x/>
    </i>
    <i i="1">
      <x v="1"/>
    </i>
    <i i="2">
      <x v="2"/>
    </i>
    <i i="3">
      <x v="3"/>
    </i>
    <i i="4">
      <x v="4"/>
    </i>
  </colItems>
  <dataFields count="5">
    <dataField name="Sum of B-Total" fld="1" baseField="0" baseItem="0"/>
    <dataField name="Sum of A-Total" fld="2" baseField="0" baseItem="0"/>
    <dataField name="Actual/Budget" fld="3" subtotal="count" baseField="0" baseItem="0" numFmtId="9"/>
    <dataField name="Actual_Over_Budget Status" fld="4" subtotal="count" baseField="0" baseItem="0"/>
    <dataField name="Expence Ranking" fld="5" subtotal="count" baseField="0" baseItem="0" numFmtId="1">
      <extLst>
        <ext xmlns:x14="http://schemas.microsoft.com/office/spreadsheetml/2009/9/main" uri="{E15A36E0-9728-4e99-A89B-3F7291B0FE68}">
          <x14:dataField pivotShowAs="rankAscending" sourceField="3" uniqueName="[__Xl2].[Measures].[Actual_Over_Budget]"/>
        </ext>
      </extLst>
    </dataField>
  </dataFields>
  <formats count="15">
    <format dxfId="60">
      <pivotArea outline="0" collapsedLevelsAreSubtotals="1" fieldPosition="0"/>
    </format>
    <format dxfId="59">
      <pivotArea outline="0" collapsedLevelsAreSubtotals="1" fieldPosition="0">
        <references count="1">
          <reference field="4294967294" count="1" selected="0">
            <x v="2"/>
          </reference>
        </references>
      </pivotArea>
    </format>
    <format dxfId="58">
      <pivotArea dataOnly="0" labelOnly="1" outline="0" fieldPosition="0">
        <references count="1">
          <reference field="4294967294" count="1">
            <x v="3"/>
          </reference>
        </references>
      </pivotArea>
    </format>
    <format dxfId="57">
      <pivotArea field="0" type="button" dataOnly="0" labelOnly="1" outline="0" axis="axisRow" fieldPosition="0"/>
    </format>
    <format dxfId="56">
      <pivotArea dataOnly="0" labelOnly="1" outline="0" fieldPosition="0">
        <references count="1">
          <reference field="4294967294" count="4">
            <x v="0"/>
            <x v="1"/>
            <x v="2"/>
            <x v="3"/>
          </reference>
        </references>
      </pivotArea>
    </format>
    <format dxfId="55">
      <pivotArea outline="0" collapsedLevelsAreSubtotals="1" fieldPosition="0">
        <references count="1">
          <reference field="4294967294" count="1" selected="0">
            <x v="3"/>
          </reference>
        </references>
      </pivotArea>
    </format>
    <format dxfId="54">
      <pivotArea outline="0" fieldPosition="0">
        <references count="1">
          <reference field="4294967294" count="1">
            <x v="4"/>
          </reference>
        </references>
      </pivotArea>
    </format>
    <format dxfId="53">
      <pivotArea collapsedLevelsAreSubtotals="1" fieldPosition="0">
        <references count="2">
          <reference field="4294967294" count="1" selected="0">
            <x v="4"/>
          </reference>
          <reference field="0" count="0"/>
        </references>
      </pivotArea>
    </format>
    <format dxfId="52">
      <pivotArea dataOnly="0" labelOnly="1" outline="0" fieldPosition="0">
        <references count="1">
          <reference field="4294967294" count="1">
            <x v="4"/>
          </reference>
        </references>
      </pivotArea>
    </format>
    <format dxfId="51">
      <pivotArea type="all" dataOnly="0" outline="0" fieldPosition="0"/>
    </format>
    <format dxfId="50">
      <pivotArea outline="0" collapsedLevelsAreSubtotals="1" fieldPosition="0"/>
    </format>
    <format dxfId="49">
      <pivotArea field="0" type="button" dataOnly="0" labelOnly="1" outline="0" axis="axisRow" fieldPosition="0"/>
    </format>
    <format dxfId="48">
      <pivotArea dataOnly="0" labelOnly="1" fieldPosition="0">
        <references count="1">
          <reference field="0" count="0"/>
        </references>
      </pivotArea>
    </format>
    <format dxfId="47">
      <pivotArea dataOnly="0" labelOnly="1" grandRow="1" outline="0" fieldPosition="0"/>
    </format>
    <format dxfId="46">
      <pivotArea dataOnly="0" labelOnly="1" outline="0" fieldPosition="0">
        <references count="1">
          <reference field="4294967294" count="5">
            <x v="0"/>
            <x v="1"/>
            <x v="2"/>
            <x v="3"/>
            <x v="4"/>
          </reference>
        </references>
      </pivotArea>
    </format>
  </formats>
  <conditionalFormats count="3">
    <conditionalFormat priority="2">
      <pivotAreas count="1">
        <pivotArea type="data" collapsedLevelsAreSubtotals="1" fieldPosition="0">
          <references count="2">
            <reference field="4294967294" count="1" selected="0">
              <x v="4"/>
            </reference>
            <reference field="0" count="12">
              <x v="0"/>
              <x v="1"/>
              <x v="2"/>
              <x v="3"/>
              <x v="4"/>
              <x v="5"/>
              <x v="6"/>
              <x v="7"/>
              <x v="8"/>
              <x v="9"/>
              <x v="10"/>
              <x v="11"/>
            </reference>
          </references>
        </pivotArea>
      </pivotAreas>
    </conditionalFormat>
    <conditionalFormat priority="4">
      <pivotAreas count="1">
        <pivotArea type="data" collapsedLevelsAreSubtotals="1" fieldPosition="0">
          <references count="2">
            <reference field="4294967294" count="2" selected="0">
              <x v="0"/>
              <x v="1"/>
            </reference>
            <reference field="0" count="12">
              <x v="0"/>
              <x v="1"/>
              <x v="2"/>
              <x v="3"/>
              <x v="4"/>
              <x v="5"/>
              <x v="6"/>
              <x v="7"/>
              <x v="8"/>
              <x v="9"/>
              <x v="10"/>
              <x v="11"/>
            </reference>
          </references>
        </pivotArea>
      </pivotAreas>
    </conditionalFormat>
    <conditionalFormat scope="data" priority="5">
      <pivotAreas count="1">
        <pivotArea outline="0" fieldPosition="0">
          <references count="1">
            <reference field="4294967294" count="1" selected="0">
              <x v="3"/>
            </reference>
          </references>
        </pivotArea>
      </pivotAreas>
    </conditionalFormat>
  </conditionalFormat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0" format="4" series="1">
      <pivotArea type="data" outline="0" fieldPosition="0">
        <references count="1">
          <reference field="4294967294" count="1" selected="0">
            <x v="4"/>
          </reference>
        </references>
      </pivotArea>
    </chartFormat>
  </chartFormats>
  <pivotHierarchies count="3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Actual/Budget"/>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dragOff="0" includeNewItemsInFilter="1">
      <extLst>
        <ext xmlns:x14="http://schemas.microsoft.com/office/spreadsheetml/2009/9/main" uri="{F1805F06-0CD3-4483-9156-8803C3D141DF}">
          <x14:pivotHierarchy ignore="1"/>
        </ext>
      </extLst>
    </pivotHierarchy>
    <pivotHierarchy dragToRow="0" dragToCol="0" dragToPage="0" dragOff="0"/>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Smart-Personal-Budget-2.xlsx!Expence_Table">
        <x15:activeTabTopLevelEntity name="[Expence_Table]"/>
        <x15:activeTabTopLevelEntity name="Income_Table" type="1"/>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xenditure" xr10:uid="{2DB8EF3E-02A8-4D33-B86A-7739C5DF0FAC}" sourceName="Exenditure">
  <pivotTables>
    <pivotTable tabId="6" name="PivotTable5"/>
  </pivotTables>
  <data>
    <tabular pivotCacheId="1207974053">
      <items count="12">
        <i x="2" s="1"/>
        <i x="10" s="1"/>
        <i x="1" s="1"/>
        <i x="3" s="1"/>
        <i x="8" s="1"/>
        <i x="5" s="1"/>
        <i x="7" s="1"/>
        <i x="4" s="1"/>
        <i x="0" s="1"/>
        <i x="11" s="1"/>
        <i x="6" s="1"/>
        <i x="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xenditure" xr10:uid="{AD411C2C-55C1-47E3-84BC-118FD1D74F23}" cache="Slicer_Exenditure" caption="Exenditure" startItem="4"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7B2123-2A78-493F-993D-E9CF0CE1D728}" name="Income_Table" displayName="Income_Table" ref="A1:AA4" totalsRowShown="0" headerRowDxfId="118" dataDxfId="117" tableBorderDxfId="116">
  <autoFilter ref="A1:AA4" xr:uid="{217B2123-2A78-493F-993D-E9CF0CE1D728}"/>
  <tableColumns count="27">
    <tableColumn id="1" xr3:uid="{934B6743-FDC1-43C4-B92A-54F02B8F76C1}" name="Income" dataDxfId="115"/>
    <tableColumn id="2" xr3:uid="{D5C0D7E6-00DB-4FFB-96BD-F9D44187D419}" name="B-January" dataDxfId="114"/>
    <tableColumn id="3" xr3:uid="{743EFA9D-7ED8-4E11-AF96-8ABF88142139}" name="A-January" dataDxfId="113"/>
    <tableColumn id="4" xr3:uid="{C8CDDA60-CD42-4B2D-9E73-B40401EA0614}" name="B-February" dataDxfId="112"/>
    <tableColumn id="5" xr3:uid="{527B9F9E-33B8-4150-B073-2FA9CCB24203}" name="A-February" dataDxfId="111"/>
    <tableColumn id="6" xr3:uid="{2CA75010-0687-468F-A976-6B90C22F0859}" name="B-March" dataDxfId="110"/>
    <tableColumn id="7" xr3:uid="{18AA2E60-0251-4535-AD51-A50E53467FCE}" name="A-March" dataDxfId="109"/>
    <tableColumn id="8" xr3:uid="{B1903EEA-1149-42E4-9453-2CD883EFAEB0}" name="B-April" dataDxfId="108"/>
    <tableColumn id="9" xr3:uid="{56CED4A3-0F10-418A-9F18-82939AD04447}" name="A-April" dataDxfId="107"/>
    <tableColumn id="10" xr3:uid="{0D3813D1-175F-4CB5-B52A-5D8B16C654BF}" name="B-May" dataDxfId="106"/>
    <tableColumn id="11" xr3:uid="{AD715A26-0FA7-421E-BCC9-DF633DA97026}" name="A-May" dataDxfId="105"/>
    <tableColumn id="12" xr3:uid="{28D51C85-ED56-4D92-A743-CE77412C7DF0}" name="B-June" dataDxfId="104"/>
    <tableColumn id="13" xr3:uid="{C76830EA-E723-4E5F-A25F-196DA2869286}" name="A-June" dataDxfId="103"/>
    <tableColumn id="14" xr3:uid="{383012C6-379E-454F-BE1C-262924BD6656}" name="B-July" dataDxfId="102"/>
    <tableColumn id="15" xr3:uid="{DF28B0B8-C5CB-4A9F-A7AB-713E81809902}" name="A-July" dataDxfId="101"/>
    <tableColumn id="16" xr3:uid="{78B3FE4B-5D96-468E-95B1-675BA557B410}" name="B-August" dataDxfId="100"/>
    <tableColumn id="17" xr3:uid="{AE347A1F-72A9-4FFB-A511-D2E2219B7CDF}" name="A-August" dataDxfId="99"/>
    <tableColumn id="18" xr3:uid="{A4C67F04-870A-4BA9-94B6-16E9346D58FF}" name="B-September" dataDxfId="98"/>
    <tableColumn id="19" xr3:uid="{44664FC9-B79D-4BB6-9C32-4AFB58A02D5F}" name="A-September" dataDxfId="97"/>
    <tableColumn id="20" xr3:uid="{E985B63A-9A84-4F22-A42C-6A7E7E481D16}" name="B-October" dataDxfId="96"/>
    <tableColumn id="21" xr3:uid="{07D64293-0F23-4277-B7D5-BF93509CC9A4}" name="A-October" dataDxfId="95"/>
    <tableColumn id="22" xr3:uid="{E9E35AB4-66EE-4EC4-B00E-9F31F231A90C}" name="B-November" dataDxfId="94"/>
    <tableColumn id="23" xr3:uid="{268017C9-872A-433C-A7E3-FF9E6ED06965}" name="A-November" dataDxfId="93"/>
    <tableColumn id="24" xr3:uid="{20024244-AA0B-4F29-A67E-DE49AA55BC53}" name="B-December" dataDxfId="92"/>
    <tableColumn id="25" xr3:uid="{477EB1F8-1760-4431-ACBA-F634EA527551}" name="A-December" dataDxfId="91"/>
    <tableColumn id="26" xr3:uid="{64F8903F-1E45-4D2D-B822-117E1A4462C0}" name="B-Total" dataDxfId="90"/>
    <tableColumn id="27" xr3:uid="{8F962C53-DD50-45FA-9385-9C9E3AB57586}" name="A-Total" dataDxfId="8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3DF9D72-0C8D-492B-B959-BFC0880F8DDD}" name="Expence_Table" displayName="Expence_Table" ref="A8:AA20" totalsRowShown="0" headerRowDxfId="88" dataDxfId="87">
  <autoFilter ref="A8:AA20" xr:uid="{B3DF9D72-0C8D-492B-B959-BFC0880F8DDD}"/>
  <tableColumns count="27">
    <tableColumn id="1" xr3:uid="{EDC8C208-BC1A-4D92-8DDA-0F93A41D8CD9}" name="Exenditure"/>
    <tableColumn id="2" xr3:uid="{65BDE765-D5EF-4072-B4EF-09735B14D33F}" name="B-January" dataDxfId="86"/>
    <tableColumn id="3" xr3:uid="{0B7FB2DE-D789-48FD-9CBC-FD36ED487A00}" name="A-January" dataDxfId="85"/>
    <tableColumn id="4" xr3:uid="{9CA4630A-549C-4577-80AD-3E70BF0BA266}" name="B-February" dataDxfId="84"/>
    <tableColumn id="5" xr3:uid="{35132F66-A020-46EE-945D-222C899FD172}" name="A-February" dataDxfId="83"/>
    <tableColumn id="6" xr3:uid="{F00CE57C-649F-4A1B-B295-2DFCDEB17306}" name="B-March" dataDxfId="82"/>
    <tableColumn id="7" xr3:uid="{A25736D8-BA42-4E9B-A8A3-E5399654A56C}" name="A-March" dataDxfId="81"/>
    <tableColumn id="8" xr3:uid="{96A5009C-D9AD-4E2D-8D02-1755EA1B8D93}" name="B-April" dataDxfId="80"/>
    <tableColumn id="9" xr3:uid="{B74A6AC7-0773-4E46-BA3F-7790BE7C8E9F}" name="A-April" dataDxfId="79"/>
    <tableColumn id="10" xr3:uid="{EA75A946-C07A-421C-BC75-EB042AB0C812}" name="B-May" dataDxfId="78"/>
    <tableColumn id="11" xr3:uid="{E48DFA0D-012C-4163-A61F-3C43AB14B016}" name="A-May" dataDxfId="77"/>
    <tableColumn id="12" xr3:uid="{17926462-CF4A-4714-9175-84B53A8A096D}" name="B-June" dataDxfId="76"/>
    <tableColumn id="13" xr3:uid="{8D88B489-33E9-47A5-9ABD-CD5BC7DBB715}" name="A-June" dataDxfId="75"/>
    <tableColumn id="14" xr3:uid="{68A7D2EC-FE38-43BB-9137-4CB2F532E59C}" name="B-July" dataDxfId="74"/>
    <tableColumn id="15" xr3:uid="{C47CF811-EDC5-40B3-A6D0-08327F8D62E5}" name="A-July" dataDxfId="73"/>
    <tableColumn id="16" xr3:uid="{C1F5F1BD-E6A1-44D4-94DF-4B07E364995C}" name="B-August" dataDxfId="72"/>
    <tableColumn id="17" xr3:uid="{8A1C6CE2-D56B-4376-8876-A701979F3A1A}" name="A-August" dataDxfId="71"/>
    <tableColumn id="18" xr3:uid="{301CE781-B790-456A-8E2A-12E63FE62B46}" name="B-September" dataDxfId="70"/>
    <tableColumn id="19" xr3:uid="{D8CBD462-92ED-4F6C-9696-34838ECAA2C4}" name="A-September" dataDxfId="69"/>
    <tableColumn id="20" xr3:uid="{6BFCF898-1822-400F-A80C-F831DCD1E81C}" name="B-October" dataDxfId="68"/>
    <tableColumn id="21" xr3:uid="{139D3F36-17C1-474A-9AE1-FCB77C46E2B0}" name="A-October" dataDxfId="67"/>
    <tableColumn id="22" xr3:uid="{B329E614-C182-44CD-AC4F-58674D0BCAF0}" name="B-November" dataDxfId="66"/>
    <tableColumn id="23" xr3:uid="{BB6077E4-6FF9-4122-9BCE-4B38DA157AA8}" name="A-November" dataDxfId="65"/>
    <tableColumn id="24" xr3:uid="{7C69ACAE-2891-41DA-B37D-60E5C6D90AB6}" name="B-December" dataDxfId="64"/>
    <tableColumn id="25" xr3:uid="{D624D0C5-625E-4A8D-AEC9-8C884BF416A2}" name="A-December" dataDxfId="63"/>
    <tableColumn id="26" xr3:uid="{4A4079EF-AFD9-48A9-8BF6-636F0172E257}" name="B-Total" dataDxfId="62">
      <calculatedColumnFormula>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calculatedColumnFormula>
    </tableColumn>
    <tableColumn id="27" xr3:uid="{109B5181-19D4-4C77-B73C-B910BCA642C1}" name="A-Total" dataDxfId="61">
      <calculatedColumnFormula>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calculatedColumnFormula>
    </tableColumn>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176F-BE44-4A38-BAA9-76DAAE2B4BCD}">
  <dimension ref="A1:D18"/>
  <sheetViews>
    <sheetView tabSelected="1" workbookViewId="0">
      <selection activeCell="F14" sqref="F14"/>
    </sheetView>
  </sheetViews>
  <sheetFormatPr defaultRowHeight="15" x14ac:dyDescent="0.25"/>
  <cols>
    <col min="1" max="1" width="15.42578125" bestFit="1" customWidth="1"/>
    <col min="2" max="2" width="17" bestFit="1" customWidth="1"/>
    <col min="3" max="3" width="49.28515625" bestFit="1" customWidth="1"/>
  </cols>
  <sheetData>
    <row r="1" spans="1:4" ht="15.75" thickBot="1" x14ac:dyDescent="0.3">
      <c r="A1" s="123" t="s">
        <v>126</v>
      </c>
      <c r="B1" s="124" t="s">
        <v>127</v>
      </c>
      <c r="C1" s="124" t="s">
        <v>128</v>
      </c>
      <c r="D1" s="125"/>
    </row>
    <row r="2" spans="1:4" x14ac:dyDescent="0.25">
      <c r="A2" s="132" t="s">
        <v>123</v>
      </c>
      <c r="B2" s="142" t="s">
        <v>2</v>
      </c>
      <c r="C2" s="136" t="s">
        <v>124</v>
      </c>
      <c r="D2" s="137"/>
    </row>
    <row r="3" spans="1:4" x14ac:dyDescent="0.25">
      <c r="A3" s="133"/>
      <c r="B3" s="143" t="s">
        <v>3</v>
      </c>
      <c r="C3" s="138" t="s">
        <v>125</v>
      </c>
      <c r="D3" s="129"/>
    </row>
    <row r="4" spans="1:4" x14ac:dyDescent="0.25">
      <c r="A4" s="133"/>
      <c r="B4" s="143" t="s">
        <v>0</v>
      </c>
      <c r="C4" s="138" t="s">
        <v>141</v>
      </c>
      <c r="D4" s="129"/>
    </row>
    <row r="5" spans="1:4" ht="30.75" thickBot="1" x14ac:dyDescent="0.3">
      <c r="A5" s="134"/>
      <c r="B5" s="144" t="s">
        <v>129</v>
      </c>
      <c r="C5" s="139" t="s">
        <v>142</v>
      </c>
      <c r="D5" s="130"/>
    </row>
    <row r="6" spans="1:4" ht="15.75" thickBot="1" x14ac:dyDescent="0.3">
      <c r="A6" s="126"/>
      <c r="B6" s="127"/>
      <c r="C6" s="127"/>
      <c r="D6" s="128"/>
    </row>
    <row r="7" spans="1:4" ht="15.75" thickBot="1" x14ac:dyDescent="0.3">
      <c r="A7" s="135" t="s">
        <v>130</v>
      </c>
      <c r="B7" s="131" t="s">
        <v>131</v>
      </c>
      <c r="C7" s="140" t="s">
        <v>132</v>
      </c>
      <c r="D7" s="141"/>
    </row>
    <row r="8" spans="1:4" ht="15.75" thickBot="1" x14ac:dyDescent="0.3">
      <c r="A8" s="126"/>
      <c r="B8" s="127"/>
      <c r="C8" s="127"/>
      <c r="D8" s="128"/>
    </row>
    <row r="9" spans="1:4" ht="30.75" thickBot="1" x14ac:dyDescent="0.3">
      <c r="A9" s="135" t="s">
        <v>133</v>
      </c>
      <c r="B9" s="131" t="s">
        <v>134</v>
      </c>
      <c r="C9" s="140" t="s">
        <v>135</v>
      </c>
      <c r="D9" s="141"/>
    </row>
    <row r="10" spans="1:4" ht="15.75" thickBot="1" x14ac:dyDescent="0.3">
      <c r="A10" s="126"/>
      <c r="B10" s="127"/>
      <c r="C10" s="127"/>
      <c r="D10" s="128"/>
    </row>
    <row r="11" spans="1:4" ht="30.75" thickBot="1" x14ac:dyDescent="0.3">
      <c r="A11" s="135" t="s">
        <v>143</v>
      </c>
      <c r="B11" s="131" t="s">
        <v>131</v>
      </c>
      <c r="C11" s="140" t="s">
        <v>132</v>
      </c>
      <c r="D11" s="141"/>
    </row>
    <row r="12" spans="1:4" ht="15.75" thickBot="1" x14ac:dyDescent="0.3">
      <c r="A12" s="126"/>
      <c r="B12" s="127"/>
      <c r="C12" s="127"/>
      <c r="D12" s="128"/>
    </row>
    <row r="13" spans="1:4" ht="30" customHeight="1" x14ac:dyDescent="0.25">
      <c r="A13" s="132" t="s">
        <v>139</v>
      </c>
      <c r="B13" s="142" t="s">
        <v>111</v>
      </c>
      <c r="C13" s="136" t="s">
        <v>140</v>
      </c>
      <c r="D13" s="137"/>
    </row>
    <row r="14" spans="1:4" x14ac:dyDescent="0.25">
      <c r="A14" s="133"/>
      <c r="B14" s="143" t="s">
        <v>116</v>
      </c>
      <c r="C14" s="138" t="s">
        <v>136</v>
      </c>
      <c r="D14" s="129"/>
    </row>
    <row r="15" spans="1:4" x14ac:dyDescent="0.25">
      <c r="A15" s="133"/>
      <c r="B15" s="143" t="s">
        <v>114</v>
      </c>
      <c r="C15" s="138" t="s">
        <v>136</v>
      </c>
      <c r="D15" s="129"/>
    </row>
    <row r="16" spans="1:4" x14ac:dyDescent="0.25">
      <c r="A16" s="133"/>
      <c r="B16" s="143" t="s">
        <v>118</v>
      </c>
      <c r="C16" s="138" t="s">
        <v>136</v>
      </c>
      <c r="D16" s="129"/>
    </row>
    <row r="17" spans="1:4" x14ac:dyDescent="0.25">
      <c r="A17" s="133"/>
      <c r="B17" s="143" t="s">
        <v>113</v>
      </c>
      <c r="C17" s="138" t="s">
        <v>137</v>
      </c>
      <c r="D17" s="129"/>
    </row>
    <row r="18" spans="1:4" ht="15.75" thickBot="1" x14ac:dyDescent="0.3">
      <c r="A18" s="134"/>
      <c r="B18" s="144" t="s">
        <v>105</v>
      </c>
      <c r="C18" s="139" t="s">
        <v>138</v>
      </c>
      <c r="D18" s="130"/>
    </row>
  </sheetData>
  <mergeCells count="2">
    <mergeCell ref="A2:A5"/>
    <mergeCell ref="A13:A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27C5F-595E-4D62-8926-0BF9B71F9DD4}">
  <sheetPr>
    <tabColor rgb="FF7030A0"/>
  </sheetPr>
  <dimension ref="A1:AA20"/>
  <sheetViews>
    <sheetView workbookViewId="0">
      <selection activeCell="B4" sqref="B4"/>
    </sheetView>
  </sheetViews>
  <sheetFormatPr defaultRowHeight="15" x14ac:dyDescent="0.25"/>
  <cols>
    <col min="1" max="1" width="15.85546875" bestFit="1" customWidth="1"/>
    <col min="2" max="3" width="11.85546875" bestFit="1" customWidth="1"/>
    <col min="4" max="5" width="13" bestFit="1" customWidth="1"/>
    <col min="6" max="7" width="10.5703125" bestFit="1" customWidth="1"/>
    <col min="8" max="9" width="9.28515625" bestFit="1" customWidth="1"/>
    <col min="10" max="11" width="9.140625" bestFit="1" customWidth="1"/>
    <col min="12" max="13" width="9.28515625" bestFit="1" customWidth="1"/>
    <col min="14" max="15" width="9.140625" bestFit="1" customWidth="1"/>
    <col min="16" max="17" width="11.28515625" bestFit="1" customWidth="1"/>
    <col min="18" max="19" width="15.140625" bestFit="1" customWidth="1"/>
    <col min="20" max="21" width="12.42578125" bestFit="1" customWidth="1"/>
    <col min="22" max="25" width="14.5703125" bestFit="1" customWidth="1"/>
    <col min="26" max="27" width="9.5703125" bestFit="1" customWidth="1"/>
  </cols>
  <sheetData>
    <row r="1" spans="1:27" ht="21" x14ac:dyDescent="0.35">
      <c r="A1" s="9" t="s">
        <v>0</v>
      </c>
      <c r="B1" s="3" t="s">
        <v>2</v>
      </c>
      <c r="C1" s="1" t="s">
        <v>3</v>
      </c>
      <c r="D1" s="3" t="s">
        <v>19</v>
      </c>
      <c r="E1" s="1" t="s">
        <v>20</v>
      </c>
      <c r="F1" s="3" t="s">
        <v>21</v>
      </c>
      <c r="G1" s="1" t="s">
        <v>22</v>
      </c>
      <c r="H1" s="3" t="s">
        <v>23</v>
      </c>
      <c r="I1" s="1" t="s">
        <v>24</v>
      </c>
      <c r="J1" s="3" t="s">
        <v>25</v>
      </c>
      <c r="K1" s="1" t="s">
        <v>26</v>
      </c>
      <c r="L1" s="3" t="s">
        <v>27</v>
      </c>
      <c r="M1" s="1" t="s">
        <v>28</v>
      </c>
      <c r="N1" s="3" t="s">
        <v>29</v>
      </c>
      <c r="O1" s="1" t="s">
        <v>30</v>
      </c>
      <c r="P1" s="3" t="s">
        <v>31</v>
      </c>
      <c r="Q1" s="1" t="s">
        <v>32</v>
      </c>
      <c r="R1" s="3" t="s">
        <v>33</v>
      </c>
      <c r="S1" s="1" t="s">
        <v>34</v>
      </c>
      <c r="T1" s="3" t="s">
        <v>35</v>
      </c>
      <c r="U1" s="1" t="s">
        <v>36</v>
      </c>
      <c r="V1" s="3" t="s">
        <v>37</v>
      </c>
      <c r="W1" s="1" t="s">
        <v>38</v>
      </c>
      <c r="X1" s="3" t="s">
        <v>39</v>
      </c>
      <c r="Y1" s="1" t="s">
        <v>40</v>
      </c>
      <c r="Z1" s="35" t="s">
        <v>68</v>
      </c>
      <c r="AA1" s="35" t="s">
        <v>69</v>
      </c>
    </row>
    <row r="2" spans="1:27" x14ac:dyDescent="0.25">
      <c r="A2" t="s">
        <v>18</v>
      </c>
      <c r="B2" s="2">
        <v>2000</v>
      </c>
      <c r="C2" s="34">
        <v>2000</v>
      </c>
      <c r="D2" s="2">
        <v>2000</v>
      </c>
      <c r="E2" s="34">
        <v>2000</v>
      </c>
      <c r="F2" s="2">
        <v>2000</v>
      </c>
      <c r="G2" s="34">
        <v>2000</v>
      </c>
      <c r="H2" s="2">
        <v>2000</v>
      </c>
      <c r="I2" s="34">
        <v>2000</v>
      </c>
      <c r="J2" s="2">
        <v>2000</v>
      </c>
      <c r="K2" s="34">
        <v>2000</v>
      </c>
      <c r="L2" s="2">
        <v>2000</v>
      </c>
      <c r="M2" s="34">
        <v>2000</v>
      </c>
      <c r="N2" s="2">
        <v>2000</v>
      </c>
      <c r="O2" s="34">
        <v>1980</v>
      </c>
      <c r="P2" s="2">
        <v>2000</v>
      </c>
      <c r="Q2" s="34">
        <v>2000</v>
      </c>
      <c r="R2" s="2">
        <v>2000</v>
      </c>
      <c r="S2" s="34">
        <v>0</v>
      </c>
      <c r="T2" s="2">
        <v>2000</v>
      </c>
      <c r="U2" s="34">
        <v>0</v>
      </c>
      <c r="V2" s="2">
        <v>2000</v>
      </c>
      <c r="W2" s="34">
        <v>0</v>
      </c>
      <c r="X2" s="2">
        <v>2000</v>
      </c>
      <c r="Y2" s="34">
        <v>0</v>
      </c>
      <c r="Z2" s="2"/>
      <c r="AA2" s="34"/>
    </row>
    <row r="3" spans="1:27" x14ac:dyDescent="0.25">
      <c r="A3" t="s">
        <v>41</v>
      </c>
      <c r="B3" s="2">
        <v>300</v>
      </c>
      <c r="C3" s="34">
        <v>500</v>
      </c>
      <c r="D3" s="2">
        <v>300</v>
      </c>
      <c r="E3" s="34">
        <v>400</v>
      </c>
      <c r="F3" s="2">
        <v>300</v>
      </c>
      <c r="G3" s="34">
        <v>100</v>
      </c>
      <c r="H3" s="2">
        <v>300</v>
      </c>
      <c r="I3" s="34">
        <v>150</v>
      </c>
      <c r="J3" s="2">
        <v>300</v>
      </c>
      <c r="K3" s="34">
        <v>100</v>
      </c>
      <c r="L3" s="2">
        <v>300</v>
      </c>
      <c r="M3" s="34">
        <v>140</v>
      </c>
      <c r="N3" s="2">
        <v>300</v>
      </c>
      <c r="O3" s="34">
        <v>100</v>
      </c>
      <c r="P3" s="2">
        <v>300</v>
      </c>
      <c r="Q3" s="34">
        <v>145</v>
      </c>
      <c r="R3" s="2">
        <v>300</v>
      </c>
      <c r="S3" s="34"/>
      <c r="T3" s="2">
        <v>300</v>
      </c>
      <c r="U3" s="34"/>
      <c r="V3" s="2">
        <v>300</v>
      </c>
      <c r="W3" s="34"/>
      <c r="X3" s="2">
        <v>300</v>
      </c>
      <c r="Y3" s="34"/>
      <c r="Z3" s="2"/>
      <c r="AA3" s="34"/>
    </row>
    <row r="4" spans="1:27" x14ac:dyDescent="0.25">
      <c r="A4" t="s">
        <v>50</v>
      </c>
      <c r="B4" s="2">
        <v>0</v>
      </c>
      <c r="C4" s="34"/>
      <c r="D4" s="2"/>
      <c r="E4" s="34"/>
      <c r="F4" s="2"/>
      <c r="G4" s="34"/>
      <c r="H4" s="2"/>
      <c r="I4" s="34"/>
      <c r="J4" s="2"/>
      <c r="K4" s="34"/>
      <c r="L4" s="2"/>
      <c r="M4" s="34"/>
      <c r="N4" s="2"/>
      <c r="O4" s="34"/>
      <c r="P4" s="2"/>
      <c r="Q4" s="34"/>
      <c r="R4" s="2"/>
      <c r="S4" s="34"/>
      <c r="T4" s="2"/>
      <c r="U4" s="34"/>
      <c r="V4" s="2"/>
      <c r="W4" s="34"/>
      <c r="X4" s="2"/>
      <c r="Y4" s="34"/>
      <c r="Z4" s="2"/>
      <c r="AA4" s="34"/>
    </row>
    <row r="5" spans="1:27" x14ac:dyDescent="0.25">
      <c r="B5" s="2"/>
      <c r="C5" s="2"/>
      <c r="D5" s="2"/>
      <c r="E5" s="2"/>
      <c r="F5" s="2"/>
      <c r="G5" s="2"/>
      <c r="H5" s="2"/>
      <c r="I5" s="2"/>
      <c r="J5" s="2"/>
      <c r="K5" s="2"/>
      <c r="L5" s="2"/>
      <c r="M5" s="2"/>
      <c r="N5" s="2"/>
      <c r="O5" s="2"/>
      <c r="P5" s="2"/>
      <c r="Q5" s="2"/>
      <c r="R5" s="2"/>
      <c r="S5" s="2"/>
      <c r="T5" s="2"/>
      <c r="U5" s="2"/>
      <c r="V5" s="2"/>
      <c r="W5" s="2"/>
      <c r="X5" s="2"/>
      <c r="Y5" s="2"/>
    </row>
    <row r="8" spans="1:27" ht="18.75" x14ac:dyDescent="0.3">
      <c r="A8" s="10" t="s">
        <v>42</v>
      </c>
      <c r="B8" s="4" t="s">
        <v>2</v>
      </c>
      <c r="C8" s="5" t="s">
        <v>3</v>
      </c>
      <c r="D8" s="4" t="s">
        <v>19</v>
      </c>
      <c r="E8" s="5" t="s">
        <v>20</v>
      </c>
      <c r="F8" s="4" t="s">
        <v>21</v>
      </c>
      <c r="G8" s="5" t="s">
        <v>22</v>
      </c>
      <c r="H8" s="4" t="s">
        <v>23</v>
      </c>
      <c r="I8" s="5" t="s">
        <v>24</v>
      </c>
      <c r="J8" s="4" t="s">
        <v>25</v>
      </c>
      <c r="K8" s="5" t="s">
        <v>26</v>
      </c>
      <c r="L8" s="4" t="s">
        <v>27</v>
      </c>
      <c r="M8" s="5" t="s">
        <v>28</v>
      </c>
      <c r="N8" s="4" t="s">
        <v>29</v>
      </c>
      <c r="O8" s="5" t="s">
        <v>30</v>
      </c>
      <c r="P8" s="4" t="s">
        <v>31</v>
      </c>
      <c r="Q8" s="5" t="s">
        <v>32</v>
      </c>
      <c r="R8" s="4" t="s">
        <v>33</v>
      </c>
      <c r="S8" s="5" t="s">
        <v>34</v>
      </c>
      <c r="T8" s="4" t="s">
        <v>35</v>
      </c>
      <c r="U8" s="5" t="s">
        <v>36</v>
      </c>
      <c r="V8" s="4" t="s">
        <v>37</v>
      </c>
      <c r="W8" s="5" t="s">
        <v>38</v>
      </c>
      <c r="X8" s="4" t="s">
        <v>39</v>
      </c>
      <c r="Y8" s="6" t="s">
        <v>40</v>
      </c>
      <c r="Z8" s="23" t="s">
        <v>68</v>
      </c>
      <c r="AA8" s="23" t="s">
        <v>69</v>
      </c>
    </row>
    <row r="9" spans="1:27" x14ac:dyDescent="0.25">
      <c r="A9" t="s">
        <v>43</v>
      </c>
      <c r="B9" s="7">
        <v>450</v>
      </c>
      <c r="C9" s="32">
        <v>450</v>
      </c>
      <c r="D9" s="7">
        <v>450</v>
      </c>
      <c r="E9" s="32">
        <v>450</v>
      </c>
      <c r="F9" s="7">
        <v>450</v>
      </c>
      <c r="G9" s="32">
        <v>0</v>
      </c>
      <c r="H9" s="7">
        <v>450</v>
      </c>
      <c r="I9" s="32">
        <v>0</v>
      </c>
      <c r="J9" s="7">
        <v>450</v>
      </c>
      <c r="K9" s="32">
        <v>0</v>
      </c>
      <c r="L9" s="7">
        <v>450</v>
      </c>
      <c r="M9" s="32">
        <v>0</v>
      </c>
      <c r="N9" s="7">
        <v>450</v>
      </c>
      <c r="O9" s="32">
        <v>0</v>
      </c>
      <c r="P9" s="7">
        <v>450</v>
      </c>
      <c r="Q9" s="32">
        <v>0</v>
      </c>
      <c r="R9" s="7">
        <v>450</v>
      </c>
      <c r="S9" s="32">
        <v>0</v>
      </c>
      <c r="T9" s="7">
        <v>450</v>
      </c>
      <c r="U9" s="32">
        <v>0</v>
      </c>
      <c r="V9" s="7">
        <v>450</v>
      </c>
      <c r="W9" s="32">
        <v>0</v>
      </c>
      <c r="X9" s="7">
        <v>450</v>
      </c>
      <c r="Y9" s="32">
        <v>0</v>
      </c>
      <c r="Z9"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5400</v>
      </c>
      <c r="AA9"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900</v>
      </c>
    </row>
    <row r="10" spans="1:27" x14ac:dyDescent="0.25">
      <c r="A10" t="s">
        <v>44</v>
      </c>
      <c r="B10" s="8">
        <v>30</v>
      </c>
      <c r="C10" s="33">
        <v>50</v>
      </c>
      <c r="D10" s="8">
        <v>30</v>
      </c>
      <c r="E10" s="33">
        <v>50</v>
      </c>
      <c r="F10" s="8">
        <v>30</v>
      </c>
      <c r="G10" s="33"/>
      <c r="H10" s="8">
        <v>30</v>
      </c>
      <c r="I10" s="33"/>
      <c r="J10" s="8">
        <v>30</v>
      </c>
      <c r="K10" s="33"/>
      <c r="L10" s="8">
        <v>30</v>
      </c>
      <c r="M10" s="33"/>
      <c r="N10" s="8">
        <v>30</v>
      </c>
      <c r="O10" s="33"/>
      <c r="P10" s="8">
        <v>30</v>
      </c>
      <c r="Q10" s="33"/>
      <c r="R10" s="8">
        <v>30</v>
      </c>
      <c r="S10" s="33"/>
      <c r="T10" s="8">
        <v>30</v>
      </c>
      <c r="U10" s="33"/>
      <c r="V10" s="8">
        <v>30</v>
      </c>
      <c r="W10" s="33"/>
      <c r="X10" s="8">
        <v>30</v>
      </c>
      <c r="Y10" s="33"/>
      <c r="Z10"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360</v>
      </c>
      <c r="AA10"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100</v>
      </c>
    </row>
    <row r="11" spans="1:27" x14ac:dyDescent="0.25">
      <c r="A11" t="s">
        <v>45</v>
      </c>
      <c r="B11" s="8">
        <v>10</v>
      </c>
      <c r="C11" s="33">
        <v>7</v>
      </c>
      <c r="D11" s="8">
        <v>10</v>
      </c>
      <c r="E11" s="33">
        <v>5</v>
      </c>
      <c r="F11" s="8">
        <v>10</v>
      </c>
      <c r="G11" s="33"/>
      <c r="H11" s="8">
        <v>10</v>
      </c>
      <c r="I11" s="33"/>
      <c r="J11" s="8">
        <v>10</v>
      </c>
      <c r="K11" s="33"/>
      <c r="L11" s="8">
        <v>10</v>
      </c>
      <c r="M11" s="33"/>
      <c r="N11" s="8">
        <v>10</v>
      </c>
      <c r="O11" s="33"/>
      <c r="P11" s="8">
        <v>10</v>
      </c>
      <c r="Q11" s="33"/>
      <c r="R11" s="8">
        <v>10</v>
      </c>
      <c r="S11" s="33"/>
      <c r="T11" s="8">
        <v>10</v>
      </c>
      <c r="U11" s="33"/>
      <c r="V11" s="8">
        <v>10</v>
      </c>
      <c r="W11" s="33"/>
      <c r="X11" s="8">
        <v>10</v>
      </c>
      <c r="Y11" s="33"/>
      <c r="Z11"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120</v>
      </c>
      <c r="AA11"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12</v>
      </c>
    </row>
    <row r="12" spans="1:27" x14ac:dyDescent="0.25">
      <c r="A12" t="s">
        <v>46</v>
      </c>
      <c r="B12" s="8">
        <v>29</v>
      </c>
      <c r="C12" s="33">
        <v>29</v>
      </c>
      <c r="D12" s="8">
        <v>29</v>
      </c>
      <c r="E12" s="33">
        <v>29</v>
      </c>
      <c r="F12" s="8">
        <v>29</v>
      </c>
      <c r="G12" s="33"/>
      <c r="H12" s="8">
        <v>29</v>
      </c>
      <c r="I12" s="33"/>
      <c r="J12" s="8">
        <v>29</v>
      </c>
      <c r="K12" s="33"/>
      <c r="L12" s="8">
        <v>29</v>
      </c>
      <c r="M12" s="33"/>
      <c r="N12" s="8">
        <v>29</v>
      </c>
      <c r="O12" s="33"/>
      <c r="P12" s="8">
        <v>29</v>
      </c>
      <c r="Q12" s="33"/>
      <c r="R12" s="8">
        <v>29</v>
      </c>
      <c r="S12" s="33"/>
      <c r="T12" s="8">
        <v>29</v>
      </c>
      <c r="U12" s="33"/>
      <c r="V12" s="8">
        <v>29</v>
      </c>
      <c r="W12" s="33"/>
      <c r="X12" s="8">
        <v>29</v>
      </c>
      <c r="Y12" s="33"/>
      <c r="Z12"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348</v>
      </c>
      <c r="AA12"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58</v>
      </c>
    </row>
    <row r="13" spans="1:27" x14ac:dyDescent="0.25">
      <c r="A13" t="s">
        <v>47</v>
      </c>
      <c r="B13" s="8">
        <v>12</v>
      </c>
      <c r="C13" s="33">
        <v>12</v>
      </c>
      <c r="D13" s="8">
        <v>12</v>
      </c>
      <c r="E13" s="33">
        <v>12</v>
      </c>
      <c r="F13" s="8">
        <v>12</v>
      </c>
      <c r="G13" s="33"/>
      <c r="H13" s="8">
        <v>12</v>
      </c>
      <c r="I13" s="33"/>
      <c r="J13" s="8">
        <v>12</v>
      </c>
      <c r="K13" s="33"/>
      <c r="L13" s="8">
        <v>12</v>
      </c>
      <c r="M13" s="33"/>
      <c r="N13" s="8">
        <v>12</v>
      </c>
      <c r="O13" s="33"/>
      <c r="P13" s="8">
        <v>12</v>
      </c>
      <c r="Q13" s="33"/>
      <c r="R13" s="8">
        <v>12</v>
      </c>
      <c r="S13" s="33"/>
      <c r="T13" s="8">
        <v>12</v>
      </c>
      <c r="U13" s="33"/>
      <c r="V13" s="8">
        <v>12</v>
      </c>
      <c r="W13" s="33"/>
      <c r="X13" s="8">
        <v>12</v>
      </c>
      <c r="Y13" s="33"/>
      <c r="Z13"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144</v>
      </c>
      <c r="AA13"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24</v>
      </c>
    </row>
    <row r="14" spans="1:27" x14ac:dyDescent="0.25">
      <c r="A14" t="s">
        <v>48</v>
      </c>
      <c r="B14" s="8">
        <v>50</v>
      </c>
      <c r="C14" s="33">
        <v>40</v>
      </c>
      <c r="D14" s="8">
        <v>50</v>
      </c>
      <c r="E14" s="33">
        <v>10</v>
      </c>
      <c r="F14" s="8">
        <v>50</v>
      </c>
      <c r="G14" s="33"/>
      <c r="H14" s="8">
        <v>50</v>
      </c>
      <c r="I14" s="33"/>
      <c r="J14" s="8">
        <v>50</v>
      </c>
      <c r="K14" s="33"/>
      <c r="L14" s="8">
        <v>50</v>
      </c>
      <c r="M14" s="33"/>
      <c r="N14" s="8">
        <v>50</v>
      </c>
      <c r="O14" s="33"/>
      <c r="P14" s="8">
        <v>50</v>
      </c>
      <c r="Q14" s="33"/>
      <c r="R14" s="8">
        <v>50</v>
      </c>
      <c r="S14" s="33"/>
      <c r="T14" s="8">
        <v>50</v>
      </c>
      <c r="U14" s="33"/>
      <c r="V14" s="8">
        <v>50</v>
      </c>
      <c r="W14" s="33"/>
      <c r="X14" s="8">
        <v>50</v>
      </c>
      <c r="Y14" s="33"/>
      <c r="Z14"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600</v>
      </c>
      <c r="AA14"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50</v>
      </c>
    </row>
    <row r="15" spans="1:27" x14ac:dyDescent="0.25">
      <c r="A15" t="s">
        <v>49</v>
      </c>
      <c r="B15" s="8">
        <v>600</v>
      </c>
      <c r="C15" s="33">
        <v>450</v>
      </c>
      <c r="D15" s="8">
        <v>0</v>
      </c>
      <c r="E15" s="33">
        <v>150</v>
      </c>
      <c r="F15" s="8">
        <v>600</v>
      </c>
      <c r="G15" s="33"/>
      <c r="H15" s="8">
        <v>600</v>
      </c>
      <c r="I15" s="33"/>
      <c r="J15" s="8">
        <v>600</v>
      </c>
      <c r="K15" s="33"/>
      <c r="L15" s="8">
        <v>600</v>
      </c>
      <c r="M15" s="33"/>
      <c r="N15" s="8">
        <v>600</v>
      </c>
      <c r="O15" s="33"/>
      <c r="P15" s="8">
        <v>600</v>
      </c>
      <c r="Q15" s="33"/>
      <c r="R15" s="8">
        <v>600</v>
      </c>
      <c r="S15" s="33"/>
      <c r="T15" s="8">
        <v>600</v>
      </c>
      <c r="U15" s="33"/>
      <c r="V15" s="8">
        <v>600</v>
      </c>
      <c r="W15" s="33"/>
      <c r="X15" s="8">
        <v>600</v>
      </c>
      <c r="Y15" s="33"/>
      <c r="Z15"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6600</v>
      </c>
      <c r="AA15"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600</v>
      </c>
    </row>
    <row r="16" spans="1:27" x14ac:dyDescent="0.25">
      <c r="A16" t="s">
        <v>51</v>
      </c>
      <c r="B16" s="8">
        <v>100</v>
      </c>
      <c r="C16" s="33">
        <v>120</v>
      </c>
      <c r="D16" s="8">
        <v>100</v>
      </c>
      <c r="E16" s="33">
        <v>120</v>
      </c>
      <c r="F16" s="8">
        <v>100</v>
      </c>
      <c r="G16" s="33"/>
      <c r="H16" s="8">
        <v>100</v>
      </c>
      <c r="I16" s="33"/>
      <c r="J16" s="8">
        <v>100</v>
      </c>
      <c r="K16" s="33"/>
      <c r="L16" s="8">
        <v>100</v>
      </c>
      <c r="M16" s="33"/>
      <c r="N16" s="8">
        <v>100</v>
      </c>
      <c r="O16" s="33"/>
      <c r="P16" s="8">
        <v>100</v>
      </c>
      <c r="Q16" s="33"/>
      <c r="R16" s="8">
        <v>100</v>
      </c>
      <c r="S16" s="33"/>
      <c r="T16" s="8">
        <v>100</v>
      </c>
      <c r="U16" s="33"/>
      <c r="V16" s="8">
        <v>100</v>
      </c>
      <c r="W16" s="33"/>
      <c r="X16" s="8">
        <v>100</v>
      </c>
      <c r="Y16" s="33"/>
      <c r="Z16"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1200</v>
      </c>
      <c r="AA16"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240</v>
      </c>
    </row>
    <row r="17" spans="1:27" x14ac:dyDescent="0.25">
      <c r="A17" t="s">
        <v>52</v>
      </c>
      <c r="B17" s="8">
        <v>30</v>
      </c>
      <c r="C17" s="33">
        <v>50</v>
      </c>
      <c r="D17" s="8">
        <v>30</v>
      </c>
      <c r="E17" s="33">
        <v>40</v>
      </c>
      <c r="F17" s="8">
        <v>30</v>
      </c>
      <c r="G17" s="33"/>
      <c r="H17" s="8">
        <v>30</v>
      </c>
      <c r="I17" s="33"/>
      <c r="J17" s="8">
        <v>30</v>
      </c>
      <c r="K17" s="33"/>
      <c r="L17" s="8">
        <v>30</v>
      </c>
      <c r="M17" s="33"/>
      <c r="N17" s="8">
        <v>30</v>
      </c>
      <c r="O17" s="33"/>
      <c r="P17" s="8">
        <v>30</v>
      </c>
      <c r="Q17" s="33"/>
      <c r="R17" s="8">
        <v>30</v>
      </c>
      <c r="S17" s="33"/>
      <c r="T17" s="8">
        <v>30</v>
      </c>
      <c r="U17" s="33"/>
      <c r="V17" s="8">
        <v>30</v>
      </c>
      <c r="W17" s="33"/>
      <c r="X17" s="8">
        <v>30</v>
      </c>
      <c r="Y17" s="33"/>
      <c r="Z17"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360</v>
      </c>
      <c r="AA17"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90</v>
      </c>
    </row>
    <row r="18" spans="1:27" x14ac:dyDescent="0.25">
      <c r="A18" t="s">
        <v>70</v>
      </c>
      <c r="B18" s="8">
        <v>100</v>
      </c>
      <c r="C18" s="33">
        <v>90</v>
      </c>
      <c r="D18" s="8">
        <v>80</v>
      </c>
      <c r="E18" s="33">
        <v>80</v>
      </c>
      <c r="F18" s="8"/>
      <c r="G18" s="33"/>
      <c r="H18" s="8"/>
      <c r="I18" s="33"/>
      <c r="J18" s="8"/>
      <c r="K18" s="33"/>
      <c r="L18" s="8"/>
      <c r="M18" s="33"/>
      <c r="N18" s="8"/>
      <c r="O18" s="33"/>
      <c r="P18" s="8"/>
      <c r="Q18" s="33"/>
      <c r="R18" s="8"/>
      <c r="S18" s="33"/>
      <c r="T18" s="8"/>
      <c r="U18" s="33"/>
      <c r="V18" s="8"/>
      <c r="W18" s="33"/>
      <c r="X18" s="8"/>
      <c r="Y18" s="33"/>
      <c r="Z18"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180</v>
      </c>
      <c r="AA18"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170</v>
      </c>
    </row>
    <row r="19" spans="1:27" x14ac:dyDescent="0.25">
      <c r="A19" t="s">
        <v>71</v>
      </c>
      <c r="B19" s="8">
        <v>25</v>
      </c>
      <c r="C19" s="33">
        <v>20</v>
      </c>
      <c r="D19" s="8">
        <v>0</v>
      </c>
      <c r="E19" s="33">
        <v>10</v>
      </c>
      <c r="F19" s="8"/>
      <c r="G19" s="33"/>
      <c r="H19" s="8"/>
      <c r="I19" s="33"/>
      <c r="J19" s="8"/>
      <c r="K19" s="33"/>
      <c r="L19" s="8"/>
      <c r="M19" s="33"/>
      <c r="N19" s="8"/>
      <c r="O19" s="33"/>
      <c r="P19" s="8"/>
      <c r="Q19" s="33"/>
      <c r="R19" s="8"/>
      <c r="S19" s="33"/>
      <c r="T19" s="8"/>
      <c r="U19" s="33"/>
      <c r="V19" s="8"/>
      <c r="W19" s="33"/>
      <c r="X19" s="8"/>
      <c r="Y19" s="33"/>
      <c r="Z19"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25</v>
      </c>
      <c r="AA19"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30</v>
      </c>
    </row>
    <row r="20" spans="1:27" x14ac:dyDescent="0.25">
      <c r="A20" t="s">
        <v>72</v>
      </c>
      <c r="B20" s="8">
        <v>0</v>
      </c>
      <c r="C20" s="33">
        <v>12</v>
      </c>
      <c r="D20" s="8">
        <v>10</v>
      </c>
      <c r="E20" s="33">
        <v>12</v>
      </c>
      <c r="F20" s="8">
        <v>20</v>
      </c>
      <c r="G20" s="33">
        <v>14</v>
      </c>
      <c r="H20" s="8"/>
      <c r="I20" s="33"/>
      <c r="J20" s="8"/>
      <c r="K20" s="33"/>
      <c r="L20" s="8"/>
      <c r="M20" s="33"/>
      <c r="N20" s="8"/>
      <c r="O20" s="33"/>
      <c r="P20" s="8"/>
      <c r="Q20" s="33"/>
      <c r="R20" s="8"/>
      <c r="S20" s="33"/>
      <c r="T20" s="8"/>
      <c r="U20" s="33"/>
      <c r="V20" s="8"/>
      <c r="W20" s="33"/>
      <c r="X20" s="8"/>
      <c r="Y20" s="33"/>
      <c r="Z20" s="22">
        <f>Expence_Table[[#This Row],[B-January]]+Expence_Table[[#This Row],[B-February]]+Expence_Table[[#This Row],[B-March]]+Expence_Table[[#This Row],[B-April]]+Expence_Table[[#This Row],[B-May]]+Expence_Table[[#This Row],[B-June]]+Expence_Table[[#This Row],[B-July]]+Expence_Table[[#This Row],[B-August]]+Expence_Table[[#This Row],[B-September]]+Expence_Table[[#This Row],[B-October]]+Expence_Table[[#This Row],[B-November]]+Expence_Table[[#This Row],[B-December]]</f>
        <v>30</v>
      </c>
      <c r="AA20" s="33">
        <f>Expence_Table[[#This Row],[A-January]]+Expence_Table[[#This Row],[A-February]]+Expence_Table[[#This Row],[A-March]]+Expence_Table[[#This Row],[A-April]]+Expence_Table[[#This Row],[A-May]]+Expence_Table[[#This Row],[A-June]]+Expence_Table[[#This Row],[A-July]]+Expence_Table[[#This Row],[A-August]]+Expence_Table[[#This Row],[A-September]]+Expence_Table[[#This Row],[A-October]]+Expence_Table[[#This Row],[A-November]]+Expence_Table[[#This Row],[A-December]]</f>
        <v>38</v>
      </c>
    </row>
  </sheetData>
  <phoneticPr fontId="4" type="noConversion"/>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1C72-A2E3-4398-B3FF-93DCBC1211E1}">
  <sheetPr>
    <tabColor theme="6"/>
  </sheetPr>
  <dimension ref="A1:R30"/>
  <sheetViews>
    <sheetView topLeftCell="A9" workbookViewId="0">
      <selection activeCell="S8" sqref="S8"/>
    </sheetView>
  </sheetViews>
  <sheetFormatPr defaultRowHeight="15" x14ac:dyDescent="0.25"/>
  <cols>
    <col min="1" max="1" width="2.140625" customWidth="1"/>
    <col min="3" max="4" width="10" bestFit="1" customWidth="1"/>
    <col min="13" max="13" width="1.42578125" customWidth="1"/>
    <col min="14" max="14" width="3.140625" customWidth="1"/>
    <col min="15" max="15" width="19.7109375" customWidth="1"/>
    <col min="16" max="16" width="19.140625" customWidth="1"/>
    <col min="17" max="17" width="10" bestFit="1" customWidth="1"/>
    <col min="18" max="18" width="1.28515625" customWidth="1"/>
  </cols>
  <sheetData>
    <row r="1" spans="2:18" ht="15" customHeight="1" thickBot="1" x14ac:dyDescent="0.35">
      <c r="B1" s="18"/>
      <c r="C1" s="18"/>
      <c r="D1" s="18"/>
      <c r="E1" s="18"/>
      <c r="F1" s="18"/>
      <c r="G1" s="18"/>
      <c r="H1" s="18"/>
      <c r="I1" s="18"/>
      <c r="J1" s="18"/>
      <c r="K1" s="18"/>
      <c r="L1" s="18"/>
      <c r="M1" s="18"/>
      <c r="N1" s="98" t="s">
        <v>57</v>
      </c>
      <c r="O1" s="98"/>
      <c r="P1" s="98"/>
      <c r="Q1" s="98"/>
      <c r="R1" s="18"/>
    </row>
    <row r="2" spans="2:18" ht="15.75" thickBot="1" x14ac:dyDescent="0.3">
      <c r="B2" s="36" t="s">
        <v>53</v>
      </c>
      <c r="C2" s="16" t="s">
        <v>16</v>
      </c>
      <c r="D2" s="17" t="s">
        <v>17</v>
      </c>
      <c r="E2" s="21" t="s">
        <v>54</v>
      </c>
      <c r="M2" s="18"/>
      <c r="N2" s="24"/>
      <c r="O2" s="25" t="s">
        <v>61</v>
      </c>
      <c r="P2" s="25" t="s">
        <v>16</v>
      </c>
      <c r="Q2" s="25" t="s">
        <v>17</v>
      </c>
      <c r="R2" s="18"/>
    </row>
    <row r="3" spans="2:18" x14ac:dyDescent="0.25">
      <c r="B3" s="11" t="s">
        <v>4</v>
      </c>
      <c r="C3" s="2">
        <f>SUM(Expence_Table[B-January])</f>
        <v>1436</v>
      </c>
      <c r="D3" s="12">
        <f>SUM(Expence_Table[A-January])</f>
        <v>1330</v>
      </c>
      <c r="E3" s="19"/>
      <c r="M3" s="18"/>
      <c r="N3" s="24"/>
      <c r="O3" s="26" t="s">
        <v>55</v>
      </c>
      <c r="P3" s="27">
        <f>SUM(C18:C29)</f>
        <v>27600</v>
      </c>
      <c r="Q3" s="27">
        <f>SUM(D18:D29)</f>
        <v>17615</v>
      </c>
      <c r="R3" s="18"/>
    </row>
    <row r="4" spans="2:18" ht="21" x14ac:dyDescent="0.35">
      <c r="B4" s="11" t="s">
        <v>5</v>
      </c>
      <c r="C4" s="2">
        <f>SUM(Expence_Table[B-February])</f>
        <v>801</v>
      </c>
      <c r="D4" s="12">
        <f>SUM(Expence_Table[A-February])</f>
        <v>968</v>
      </c>
      <c r="E4" s="19"/>
      <c r="M4" s="18"/>
      <c r="N4" s="24"/>
      <c r="O4" s="26" t="s">
        <v>56</v>
      </c>
      <c r="P4" s="24"/>
      <c r="Q4" s="28">
        <f>(Q3-P3)/P3</f>
        <v>-0.36177536231884055</v>
      </c>
      <c r="R4" s="18"/>
    </row>
    <row r="5" spans="2:18" x14ac:dyDescent="0.25">
      <c r="B5" s="11" t="s">
        <v>6</v>
      </c>
      <c r="C5" s="2">
        <f>SUM(Expence_Table[B-March])</f>
        <v>1331</v>
      </c>
      <c r="D5" s="12">
        <f>SUM(Expence_Table[A-March])</f>
        <v>14</v>
      </c>
      <c r="E5" s="19"/>
      <c r="M5" s="18"/>
      <c r="N5" s="24"/>
      <c r="O5" s="26" t="s">
        <v>58</v>
      </c>
      <c r="P5" s="24"/>
      <c r="Q5" s="29" t="str">
        <f>_xlfn.XLOOKUP(MAX(D18:D29),D18:D29,B18:B29)</f>
        <v>January</v>
      </c>
      <c r="R5" s="18"/>
    </row>
    <row r="6" spans="2:18" x14ac:dyDescent="0.25">
      <c r="B6" s="11" t="s">
        <v>7</v>
      </c>
      <c r="C6" s="2">
        <f>SUM(Expence_Table[B-April])</f>
        <v>1311</v>
      </c>
      <c r="D6" s="12">
        <f>SUM(Expence_Table[A-April])</f>
        <v>0</v>
      </c>
      <c r="E6" s="19"/>
      <c r="M6" s="18"/>
      <c r="N6" s="24"/>
      <c r="O6" s="26" t="s">
        <v>59</v>
      </c>
      <c r="P6" s="24"/>
      <c r="Q6" s="27" t="str">
        <f>_xlfn.XLOOKUP(MIN(D18:D29),D18:D29,B18:B29)</f>
        <v>September</v>
      </c>
      <c r="R6" s="18"/>
    </row>
    <row r="7" spans="2:18" x14ac:dyDescent="0.25">
      <c r="B7" s="11" t="s">
        <v>8</v>
      </c>
      <c r="C7" s="2">
        <f>SUM(Expence_Table[B-May])</f>
        <v>1311</v>
      </c>
      <c r="D7" s="12">
        <f>SUM(Expence_Table[A-May])</f>
        <v>0</v>
      </c>
      <c r="E7" s="19"/>
      <c r="M7" s="18"/>
      <c r="N7" s="24"/>
      <c r="O7" s="26" t="s">
        <v>60</v>
      </c>
      <c r="P7" s="24"/>
      <c r="Q7" s="27">
        <f>AVERAGE(D18:D29)</f>
        <v>1467.9166666666667</v>
      </c>
      <c r="R7" s="18"/>
    </row>
    <row r="8" spans="2:18" x14ac:dyDescent="0.25">
      <c r="B8" s="11" t="s">
        <v>9</v>
      </c>
      <c r="C8" s="2">
        <f>SUM(Expence_Table[B-June])</f>
        <v>1311</v>
      </c>
      <c r="D8" s="12">
        <f>SUM(Expence_Table[A-June])</f>
        <v>0</v>
      </c>
      <c r="E8" s="19"/>
      <c r="M8" s="18"/>
      <c r="N8" s="24"/>
      <c r="O8" s="24"/>
      <c r="P8" s="24"/>
      <c r="Q8" s="24"/>
      <c r="R8" s="18"/>
    </row>
    <row r="9" spans="2:18" x14ac:dyDescent="0.25">
      <c r="B9" s="11" t="s">
        <v>10</v>
      </c>
      <c r="C9" s="2">
        <f>SUM(Expence_Table[B-July])</f>
        <v>1311</v>
      </c>
      <c r="D9" s="12">
        <f>SUM(Expence_Table[A-July])</f>
        <v>0</v>
      </c>
      <c r="E9" s="19"/>
      <c r="M9" s="18"/>
      <c r="N9" s="24"/>
      <c r="O9" s="24"/>
      <c r="P9" s="24"/>
      <c r="Q9" s="24"/>
      <c r="R9" s="18"/>
    </row>
    <row r="10" spans="2:18" x14ac:dyDescent="0.25">
      <c r="B10" s="11" t="s">
        <v>11</v>
      </c>
      <c r="C10" s="2">
        <f>SUM(Expence_Table[B-August])</f>
        <v>1311</v>
      </c>
      <c r="D10" s="12">
        <f>SUM(Expence_Table[A-August])</f>
        <v>0</v>
      </c>
      <c r="E10" s="19"/>
      <c r="M10" s="18"/>
      <c r="N10" s="24"/>
      <c r="O10" s="30" t="s">
        <v>62</v>
      </c>
      <c r="P10" s="25" t="s">
        <v>16</v>
      </c>
      <c r="Q10" s="25" t="s">
        <v>17</v>
      </c>
      <c r="R10" s="18"/>
    </row>
    <row r="11" spans="2:18" x14ac:dyDescent="0.25">
      <c r="B11" s="11" t="s">
        <v>12</v>
      </c>
      <c r="C11" s="2">
        <f>SUM(Expence_Table[B-September])</f>
        <v>1311</v>
      </c>
      <c r="D11" s="12">
        <f>SUM(Expence_Table[A-September])</f>
        <v>0</v>
      </c>
      <c r="E11" s="19"/>
      <c r="M11" s="18"/>
      <c r="N11" s="24"/>
      <c r="O11" s="24" t="s">
        <v>63</v>
      </c>
      <c r="P11" s="27">
        <f>SUM(C3:C14)</f>
        <v>15367</v>
      </c>
      <c r="Q11" s="27">
        <f>SUM(D3:D14)</f>
        <v>2312</v>
      </c>
      <c r="R11" s="18"/>
    </row>
    <row r="12" spans="2:18" ht="21" x14ac:dyDescent="0.35">
      <c r="B12" s="11" t="s">
        <v>13</v>
      </c>
      <c r="C12" s="2">
        <f>SUM(Expence_Table[B-October])</f>
        <v>1311</v>
      </c>
      <c r="D12" s="12">
        <f>SUM(Expence_Table[A-October])</f>
        <v>0</v>
      </c>
      <c r="E12" s="19"/>
      <c r="M12" s="18"/>
      <c r="N12" s="24"/>
      <c r="O12" s="26" t="s">
        <v>64</v>
      </c>
      <c r="P12" s="24"/>
      <c r="Q12" s="28">
        <f>(P11-Q11)/P11</f>
        <v>0.84954773215331558</v>
      </c>
      <c r="R12" s="18"/>
    </row>
    <row r="13" spans="2:18" x14ac:dyDescent="0.25">
      <c r="B13" s="11" t="s">
        <v>14</v>
      </c>
      <c r="C13" s="2">
        <f>SUM(Expence_Table[B-November])</f>
        <v>1311</v>
      </c>
      <c r="D13" s="12">
        <f>SUM(Expence_Table[A-November])</f>
        <v>0</v>
      </c>
      <c r="E13" s="19"/>
      <c r="M13" s="18"/>
      <c r="N13" s="24"/>
      <c r="O13" s="26" t="s">
        <v>58</v>
      </c>
      <c r="P13" s="24"/>
      <c r="Q13" s="27" t="str">
        <f>_xlfn.XLOOKUP(MAX(D3:D14),D3:D14,B3:B14)</f>
        <v>January</v>
      </c>
      <c r="R13" s="18"/>
    </row>
    <row r="14" spans="2:18" ht="15.75" thickBot="1" x14ac:dyDescent="0.3">
      <c r="B14" s="13" t="s">
        <v>15</v>
      </c>
      <c r="C14" s="14">
        <f>SUM(Expence_Table[B-December])</f>
        <v>1311</v>
      </c>
      <c r="D14" s="15">
        <f>SUM(Expence_Table[A-December])</f>
        <v>0</v>
      </c>
      <c r="E14" s="20"/>
      <c r="M14" s="18"/>
      <c r="N14" s="24"/>
      <c r="O14" s="26" t="s">
        <v>59</v>
      </c>
      <c r="P14" s="24"/>
      <c r="Q14" s="27" t="str">
        <f>_xlfn.XLOOKUP(MIN(D3:D14),D3:D14,B3:B14)</f>
        <v>April</v>
      </c>
      <c r="R14" s="18"/>
    </row>
    <row r="15" spans="2:18" x14ac:dyDescent="0.25">
      <c r="M15" s="18"/>
      <c r="N15" s="24"/>
      <c r="O15" s="26" t="s">
        <v>65</v>
      </c>
      <c r="P15" s="24"/>
      <c r="Q15" s="27">
        <f>AVERAGE(D3:D14)</f>
        <v>192.66666666666666</v>
      </c>
      <c r="R15" s="18"/>
    </row>
    <row r="16" spans="2:18" ht="15.75" thickBot="1" x14ac:dyDescent="0.3">
      <c r="M16" s="18"/>
      <c r="N16" s="24"/>
      <c r="O16" s="24"/>
      <c r="P16" s="24"/>
      <c r="Q16" s="24"/>
      <c r="R16" s="18"/>
    </row>
    <row r="17" spans="1:18" ht="15.75" thickBot="1" x14ac:dyDescent="0.3">
      <c r="B17" s="36" t="s">
        <v>0</v>
      </c>
      <c r="C17" s="16" t="s">
        <v>16</v>
      </c>
      <c r="D17" s="17" t="s">
        <v>17</v>
      </c>
      <c r="E17" s="21" t="s">
        <v>54</v>
      </c>
      <c r="M17" s="18"/>
      <c r="N17" s="24"/>
      <c r="O17" s="24"/>
      <c r="P17" s="25" t="s">
        <v>16</v>
      </c>
      <c r="Q17" s="25" t="s">
        <v>17</v>
      </c>
      <c r="R17" s="18"/>
    </row>
    <row r="18" spans="1:18" x14ac:dyDescent="0.25">
      <c r="B18" s="11" t="s">
        <v>4</v>
      </c>
      <c r="C18" s="2">
        <f>SUM(Income_Table[B-January])</f>
        <v>2300</v>
      </c>
      <c r="D18" s="12">
        <f>SUM(Income_Table[A-January])</f>
        <v>2500</v>
      </c>
      <c r="E18" s="19"/>
      <c r="M18" s="18"/>
      <c r="N18" s="24"/>
      <c r="O18" s="30" t="s">
        <v>66</v>
      </c>
      <c r="P18" s="27">
        <f>P3-P11</f>
        <v>12233</v>
      </c>
      <c r="Q18" s="27">
        <f>Q3-Q11</f>
        <v>15303</v>
      </c>
      <c r="R18" s="18"/>
    </row>
    <row r="19" spans="1:18" x14ac:dyDescent="0.25">
      <c r="B19" s="11" t="s">
        <v>5</v>
      </c>
      <c r="C19" s="2">
        <f>SUM(Income_Table[B-February])</f>
        <v>2300</v>
      </c>
      <c r="D19" s="12">
        <f>SUM(Income_Table[A-February])</f>
        <v>2400</v>
      </c>
      <c r="E19" s="19"/>
      <c r="M19" s="18"/>
      <c r="N19" s="24"/>
      <c r="O19" s="26" t="s">
        <v>67</v>
      </c>
      <c r="P19" s="24"/>
      <c r="Q19" s="31">
        <f>(Q18/P18)</f>
        <v>1.2509605166353306</v>
      </c>
      <c r="R19" s="18"/>
    </row>
    <row r="20" spans="1:18" x14ac:dyDescent="0.25">
      <c r="B20" s="11" t="s">
        <v>6</v>
      </c>
      <c r="C20" s="2">
        <f>SUM(Income_Table[B-March])</f>
        <v>2300</v>
      </c>
      <c r="D20" s="12">
        <f>SUM(Income_Table[A-March])</f>
        <v>2100</v>
      </c>
      <c r="E20" s="19"/>
      <c r="M20" s="18"/>
      <c r="N20" s="24"/>
      <c r="O20" s="24"/>
      <c r="P20" s="24"/>
      <c r="Q20" s="24"/>
      <c r="R20" s="18"/>
    </row>
    <row r="21" spans="1:18" x14ac:dyDescent="0.25">
      <c r="B21" s="11" t="s">
        <v>7</v>
      </c>
      <c r="C21" s="2">
        <f>SUM(Income_Table[B-April])</f>
        <v>2300</v>
      </c>
      <c r="D21" s="12">
        <f>SUM(Income_Table[A-April])</f>
        <v>2150</v>
      </c>
      <c r="E21" s="19"/>
      <c r="M21" s="18"/>
      <c r="N21" s="24"/>
      <c r="O21" s="24"/>
      <c r="P21" s="24"/>
      <c r="Q21" s="24"/>
      <c r="R21" s="18"/>
    </row>
    <row r="22" spans="1:18" x14ac:dyDescent="0.25">
      <c r="B22" s="11" t="s">
        <v>8</v>
      </c>
      <c r="C22" s="2">
        <f>SUM(Income_Table[B-May])</f>
        <v>2300</v>
      </c>
      <c r="D22" s="12">
        <f>SUM(Income_Table[A-May])</f>
        <v>2100</v>
      </c>
      <c r="E22" s="19"/>
      <c r="M22" s="18"/>
      <c r="N22" s="24"/>
      <c r="O22" s="24"/>
      <c r="P22" s="24"/>
      <c r="Q22" s="24"/>
      <c r="R22" s="18"/>
    </row>
    <row r="23" spans="1:18" x14ac:dyDescent="0.25">
      <c r="B23" s="11" t="s">
        <v>9</v>
      </c>
      <c r="C23" s="2">
        <f>SUM(Income_Table[B-June])</f>
        <v>2300</v>
      </c>
      <c r="D23" s="12">
        <f>SUM(Income_Table[A-June])</f>
        <v>2140</v>
      </c>
      <c r="E23" s="19"/>
      <c r="M23" s="18"/>
      <c r="N23" s="24"/>
      <c r="O23" s="24"/>
      <c r="P23" s="24"/>
      <c r="Q23" s="24"/>
      <c r="R23" s="18"/>
    </row>
    <row r="24" spans="1:18" x14ac:dyDescent="0.25">
      <c r="B24" s="11" t="s">
        <v>10</v>
      </c>
      <c r="C24" s="2">
        <f>SUM(Income_Table[B-July])</f>
        <v>2300</v>
      </c>
      <c r="D24" s="12">
        <f>SUM(Income_Table[A-July])</f>
        <v>2080</v>
      </c>
      <c r="E24" s="19"/>
      <c r="M24" s="18"/>
      <c r="N24" s="24"/>
      <c r="O24" s="24"/>
      <c r="P24" s="24"/>
      <c r="Q24" s="24"/>
      <c r="R24" s="18"/>
    </row>
    <row r="25" spans="1:18" x14ac:dyDescent="0.25">
      <c r="B25" s="11" t="s">
        <v>11</v>
      </c>
      <c r="C25" s="2">
        <f>SUM(Income_Table[B-August])</f>
        <v>2300</v>
      </c>
      <c r="D25" s="12">
        <f>SUM(Income_Table[A-August])</f>
        <v>2145</v>
      </c>
      <c r="E25" s="19"/>
      <c r="M25" s="18"/>
      <c r="N25" s="24"/>
      <c r="O25" s="24"/>
      <c r="P25" s="24"/>
      <c r="Q25" s="24"/>
      <c r="R25" s="18"/>
    </row>
    <row r="26" spans="1:18" x14ac:dyDescent="0.25">
      <c r="B26" s="11" t="s">
        <v>12</v>
      </c>
      <c r="C26" s="2">
        <f>SUM(Income_Table[B-September])</f>
        <v>2300</v>
      </c>
      <c r="D26" s="12">
        <f>SUM(Income_Table[A-September])</f>
        <v>0</v>
      </c>
      <c r="E26" s="19"/>
      <c r="M26" s="18"/>
      <c r="N26" s="24"/>
      <c r="O26" s="24"/>
      <c r="P26" s="24"/>
      <c r="Q26" s="24"/>
      <c r="R26" s="18"/>
    </row>
    <row r="27" spans="1:18" x14ac:dyDescent="0.25">
      <c r="B27" s="11" t="s">
        <v>13</v>
      </c>
      <c r="C27" s="2">
        <f>SUM(Income_Table[B-October])</f>
        <v>2300</v>
      </c>
      <c r="D27" s="12">
        <f>SUM(Income_Table[A-October])</f>
        <v>0</v>
      </c>
      <c r="E27" s="19"/>
      <c r="M27" s="18"/>
      <c r="N27" s="24"/>
      <c r="O27" s="24"/>
      <c r="P27" s="24"/>
      <c r="Q27" s="24"/>
      <c r="R27" s="18"/>
    </row>
    <row r="28" spans="1:18" x14ac:dyDescent="0.25">
      <c r="B28" s="11" t="s">
        <v>14</v>
      </c>
      <c r="C28" s="2">
        <f>SUM(Income_Table[B-November])</f>
        <v>2300</v>
      </c>
      <c r="D28" s="12">
        <f>SUM(Income_Table[A-November])</f>
        <v>0</v>
      </c>
      <c r="E28" s="19"/>
      <c r="M28" s="18"/>
      <c r="N28" s="24"/>
      <c r="O28" s="24"/>
      <c r="P28" s="24"/>
      <c r="Q28" s="24"/>
      <c r="R28" s="18"/>
    </row>
    <row r="29" spans="1:18" ht="15.75" thickBot="1" x14ac:dyDescent="0.3">
      <c r="B29" s="13" t="s">
        <v>15</v>
      </c>
      <c r="C29" s="14">
        <f>SUM(Income_Table[B-December])</f>
        <v>2300</v>
      </c>
      <c r="D29" s="15">
        <f>SUM(Income_Table[A-December])</f>
        <v>0</v>
      </c>
      <c r="E29" s="20"/>
      <c r="M29" s="18"/>
      <c r="N29" s="24"/>
      <c r="O29" s="24"/>
      <c r="P29" s="24"/>
      <c r="Q29" s="24"/>
      <c r="R29" s="18"/>
    </row>
    <row r="30" spans="1:18" x14ac:dyDescent="0.25">
      <c r="A30" s="18"/>
      <c r="B30" s="18"/>
      <c r="C30" s="18"/>
      <c r="D30" s="18"/>
      <c r="E30" s="18"/>
      <c r="F30" s="18"/>
      <c r="G30" s="18"/>
      <c r="H30" s="18"/>
      <c r="I30" s="18"/>
      <c r="J30" s="18"/>
      <c r="K30" s="18"/>
      <c r="L30" s="18"/>
      <c r="M30" s="18"/>
      <c r="N30" s="18"/>
      <c r="O30" s="18"/>
      <c r="P30" s="18"/>
      <c r="Q30" s="18"/>
      <c r="R30" s="18"/>
    </row>
  </sheetData>
  <mergeCells count="1">
    <mergeCell ref="N1:Q1"/>
  </mergeCells>
  <phoneticPr fontId="4" type="noConversion"/>
  <conditionalFormatting sqref="C3:D14">
    <cfRule type="colorScale" priority="2">
      <colorScale>
        <cfvo type="min"/>
        <cfvo type="percentile" val="50"/>
        <cfvo type="max"/>
        <color rgb="FF63BE7B"/>
        <color rgb="FFFCFCFF"/>
        <color rgb="FFF8696B"/>
      </colorScale>
    </cfRule>
  </conditionalFormatting>
  <conditionalFormatting sqref="C18:D29">
    <cfRule type="colorScale" priority="1">
      <colorScale>
        <cfvo type="min"/>
        <cfvo type="percentile" val="50"/>
        <cfvo type="max"/>
        <color rgb="FFF8696B"/>
        <color rgb="FFFFEB84"/>
        <color rgb="FF63BE7B"/>
      </colorScale>
    </cfRule>
  </conditionalFormatting>
  <conditionalFormatting sqref="Q4">
    <cfRule type="cellIs" dxfId="35" priority="8" operator="greaterThanOrEqual">
      <formula>0</formula>
    </cfRule>
    <cfRule type="cellIs" dxfId="34" priority="9" operator="lessThan">
      <formula>0</formula>
    </cfRule>
  </conditionalFormatting>
  <conditionalFormatting sqref="Q12">
    <cfRule type="cellIs" dxfId="33" priority="4" operator="greaterThanOrEqual">
      <formula>0</formula>
    </cfRule>
    <cfRule type="cellIs" dxfId="32" priority="5" operator="lessThan">
      <formula>0</formula>
    </cfRule>
  </conditionalFormatting>
  <conditionalFormatting sqref="Q19">
    <cfRule type="iconSet" priority="3">
      <iconSet>
        <cfvo type="percent" val="0"/>
        <cfvo type="percent" val="33"/>
        <cfvo type="percent" val="67"/>
      </iconSet>
    </cfRule>
  </conditionalFormatting>
  <pageMargins left="0.7" right="0.7" top="0.75" bottom="0.75" header="0.3" footer="0.3"/>
  <ignoredErrors>
    <ignoredError sqref="C4" formula="1"/>
  </ignoredErrors>
  <drawing r:id="rId1"/>
  <extLst>
    <ext xmlns:x14="http://schemas.microsoft.com/office/spreadsheetml/2009/9/main" uri="{05C60535-1F16-4fd2-B633-F4F36F0B64E0}">
      <x14:sparklineGroups xmlns:xm="http://schemas.microsoft.com/office/excel/2006/main">
        <x14:sparklineGroup displayEmptyCellsAs="gap" xr2:uid="{C9C5D77C-0CAA-40A7-ADD4-5E231F985AD3}">
          <x14:colorSeries rgb="FF376092"/>
          <x14:colorNegative rgb="FFD00000"/>
          <x14:colorAxis rgb="FF000000"/>
          <x14:colorMarkers rgb="FFD00000"/>
          <x14:colorFirst rgb="FFD00000"/>
          <x14:colorLast rgb="FFD00000"/>
          <x14:colorHigh rgb="FFD00000"/>
          <x14:colorLow rgb="FFD00000"/>
          <x14:sparklines>
            <x14:sparkline>
              <xm:f>'Budget Analysis'!C18:D18</xm:f>
              <xm:sqref>E18</xm:sqref>
            </x14:sparkline>
            <x14:sparkline>
              <xm:f>'Budget Analysis'!C19:D19</xm:f>
              <xm:sqref>E19</xm:sqref>
            </x14:sparkline>
            <x14:sparkline>
              <xm:f>'Budget Analysis'!C20:D20</xm:f>
              <xm:sqref>E20</xm:sqref>
            </x14:sparkline>
            <x14:sparkline>
              <xm:f>'Budget Analysis'!C21:D21</xm:f>
              <xm:sqref>E21</xm:sqref>
            </x14:sparkline>
            <x14:sparkline>
              <xm:f>'Budget Analysis'!C22:D22</xm:f>
              <xm:sqref>E22</xm:sqref>
            </x14:sparkline>
            <x14:sparkline>
              <xm:f>'Budget Analysis'!C23:D23</xm:f>
              <xm:sqref>E23</xm:sqref>
            </x14:sparkline>
            <x14:sparkline>
              <xm:f>'Budget Analysis'!C24:D24</xm:f>
              <xm:sqref>E24</xm:sqref>
            </x14:sparkline>
            <x14:sparkline>
              <xm:f>'Budget Analysis'!C25:D25</xm:f>
              <xm:sqref>E25</xm:sqref>
            </x14:sparkline>
            <x14:sparkline>
              <xm:f>'Budget Analysis'!C26:D26</xm:f>
              <xm:sqref>E26</xm:sqref>
            </x14:sparkline>
            <x14:sparkline>
              <xm:f>'Budget Analysis'!C27:D27</xm:f>
              <xm:sqref>E27</xm:sqref>
            </x14:sparkline>
            <x14:sparkline>
              <xm:f>'Budget Analysis'!C28:D28</xm:f>
              <xm:sqref>E28</xm:sqref>
            </x14:sparkline>
            <x14:sparkline>
              <xm:f>'Budget Analysis'!C29:D29</xm:f>
              <xm:sqref>E29</xm:sqref>
            </x14:sparkline>
          </x14:sparklines>
        </x14:sparklineGroup>
        <x14:sparklineGroup displayEmptyCellsAs="gap" xr2:uid="{DF7B9A1E-6445-4A39-9D20-B7858E6789D3}">
          <x14:colorSeries rgb="FF376092"/>
          <x14:colorNegative rgb="FFD00000"/>
          <x14:colorAxis rgb="FF000000"/>
          <x14:colorMarkers rgb="FFD00000"/>
          <x14:colorFirst rgb="FFD00000"/>
          <x14:colorLast rgb="FFD00000"/>
          <x14:colorHigh rgb="FFD00000"/>
          <x14:colorLow rgb="FFD00000"/>
          <x14:sparklines>
            <x14:sparkline>
              <xm:f>'Budget Analysis'!C3:D3</xm:f>
              <xm:sqref>E3</xm:sqref>
            </x14:sparkline>
            <x14:sparkline>
              <xm:f>'Budget Analysis'!C4:D4</xm:f>
              <xm:sqref>E4</xm:sqref>
            </x14:sparkline>
            <x14:sparkline>
              <xm:f>'Budget Analysis'!C5:D5</xm:f>
              <xm:sqref>E5</xm:sqref>
            </x14:sparkline>
            <x14:sparkline>
              <xm:f>'Budget Analysis'!C6:D6</xm:f>
              <xm:sqref>E6</xm:sqref>
            </x14:sparkline>
            <x14:sparkline>
              <xm:f>'Budget Analysis'!C7:D7</xm:f>
              <xm:sqref>E7</xm:sqref>
            </x14:sparkline>
            <x14:sparkline>
              <xm:f>'Budget Analysis'!C8:D8</xm:f>
              <xm:sqref>E8</xm:sqref>
            </x14:sparkline>
            <x14:sparkline>
              <xm:f>'Budget Analysis'!C9:D9</xm:f>
              <xm:sqref>E9</xm:sqref>
            </x14:sparkline>
            <x14:sparkline>
              <xm:f>'Budget Analysis'!C10:D10</xm:f>
              <xm:sqref>E10</xm:sqref>
            </x14:sparkline>
            <x14:sparkline>
              <xm:f>'Budget Analysis'!C11:D11</xm:f>
              <xm:sqref>E11</xm:sqref>
            </x14:sparkline>
            <x14:sparkline>
              <xm:f>'Budget Analysis'!C12:D12</xm:f>
              <xm:sqref>E12</xm:sqref>
            </x14:sparkline>
            <x14:sparkline>
              <xm:f>'Budget Analysis'!C13:D13</xm:f>
              <xm:sqref>E13</xm:sqref>
            </x14:sparkline>
            <x14:sparkline>
              <xm:f>'Budget Analysis'!C14:D14</xm:f>
              <xm:sqref>E14</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78EF-35E5-446B-80BC-BCC4E25EF797}">
  <sheetPr>
    <tabColor theme="3"/>
  </sheetPr>
  <dimension ref="A1:M28"/>
  <sheetViews>
    <sheetView workbookViewId="0">
      <selection activeCell="J2" sqref="J2"/>
    </sheetView>
  </sheetViews>
  <sheetFormatPr defaultRowHeight="15" x14ac:dyDescent="0.25"/>
  <cols>
    <col min="4" max="4" width="15.5703125" customWidth="1"/>
    <col min="5" max="5" width="21" bestFit="1" customWidth="1"/>
    <col min="6" max="6" width="1.7109375" customWidth="1"/>
    <col min="7" max="7" width="20" customWidth="1"/>
    <col min="8" max="8" width="16.140625" customWidth="1"/>
    <col min="10" max="10" width="21.5703125" customWidth="1"/>
    <col min="11" max="11" width="12.7109375" bestFit="1" customWidth="1"/>
    <col min="12" max="12" width="13.28515625" customWidth="1"/>
  </cols>
  <sheetData>
    <row r="1" spans="1:13" ht="15.75" thickBot="1" x14ac:dyDescent="0.3">
      <c r="A1" s="100" t="s">
        <v>92</v>
      </c>
      <c r="B1" s="100"/>
      <c r="C1" s="100"/>
      <c r="D1" s="100"/>
      <c r="E1" s="100"/>
      <c r="F1" s="100"/>
      <c r="G1" s="100"/>
      <c r="H1" s="100"/>
      <c r="I1" s="38"/>
      <c r="J1" s="63" t="s">
        <v>88</v>
      </c>
      <c r="K1" s="38"/>
      <c r="L1" s="38"/>
      <c r="M1" s="38"/>
    </row>
    <row r="2" spans="1:13" ht="15.75" thickBot="1" x14ac:dyDescent="0.3">
      <c r="A2" s="41" t="s">
        <v>1</v>
      </c>
      <c r="B2" s="42" t="s">
        <v>0</v>
      </c>
      <c r="C2" s="42" t="s">
        <v>73</v>
      </c>
      <c r="D2" s="42" t="s">
        <v>66</v>
      </c>
      <c r="E2" s="42" t="s">
        <v>74</v>
      </c>
      <c r="F2" s="38"/>
      <c r="G2" s="43" t="s">
        <v>75</v>
      </c>
      <c r="H2" s="44">
        <f>SUMIF(E3:E14,G2,D3:D14)</f>
        <v>4688</v>
      </c>
      <c r="I2" s="38"/>
      <c r="J2" s="52" t="s">
        <v>77</v>
      </c>
      <c r="K2" s="53" t="s">
        <v>78</v>
      </c>
      <c r="L2" s="53" t="s">
        <v>79</v>
      </c>
      <c r="M2" s="54" t="s">
        <v>80</v>
      </c>
    </row>
    <row r="3" spans="1:13" ht="15.75" thickBot="1" x14ac:dyDescent="0.3">
      <c r="A3" s="45" t="s">
        <v>4</v>
      </c>
      <c r="B3" s="39">
        <f>SUM(Income_Table[A-January])</f>
        <v>2500</v>
      </c>
      <c r="C3" s="39">
        <f>SUM(Expence_Table[A-January])</f>
        <v>1330</v>
      </c>
      <c r="D3" s="39">
        <f>B3-C3</f>
        <v>1170</v>
      </c>
      <c r="E3" s="46" t="str">
        <f>IF(C3&gt;0,"Available","Not Realized")</f>
        <v>Available</v>
      </c>
      <c r="F3" s="38"/>
      <c r="G3" s="47" t="s">
        <v>76</v>
      </c>
      <c r="H3" s="48">
        <f>SUMIF(E3:E14,G3,D3:D14)</f>
        <v>10615</v>
      </c>
      <c r="I3" s="55">
        <v>1</v>
      </c>
      <c r="J3" s="38" t="s">
        <v>81</v>
      </c>
      <c r="K3" s="109">
        <v>4500</v>
      </c>
      <c r="L3" s="40">
        <f>$H$2/K3</f>
        <v>1.0417777777777777</v>
      </c>
      <c r="M3" s="38">
        <f>_xlfn.RANK.AVG(L3,$L$3:$L$7,0)</f>
        <v>3</v>
      </c>
    </row>
    <row r="4" spans="1:13" x14ac:dyDescent="0.25">
      <c r="A4" s="45" t="s">
        <v>5</v>
      </c>
      <c r="B4" s="39">
        <f>SUM(Income_Table[A-February])</f>
        <v>2400</v>
      </c>
      <c r="C4" s="39">
        <f>SUM(Expence_Table[A-February])</f>
        <v>968</v>
      </c>
      <c r="D4" s="39">
        <f t="shared" ref="D4:D14" si="0">B4-C4</f>
        <v>1432</v>
      </c>
      <c r="E4" s="46" t="str">
        <f t="shared" ref="E4:E14" si="1">IF(C4&gt;0,"Available","Not Realized")</f>
        <v>Available</v>
      </c>
      <c r="F4" s="38"/>
      <c r="G4" s="45"/>
      <c r="H4" s="46"/>
      <c r="I4" s="55">
        <v>2</v>
      </c>
      <c r="J4" s="38" t="s">
        <v>82</v>
      </c>
      <c r="K4" s="109">
        <v>23000</v>
      </c>
      <c r="L4" s="40">
        <f t="shared" ref="L4:L7" si="2">$H$2/K4</f>
        <v>0.20382608695652174</v>
      </c>
      <c r="M4" s="38">
        <f t="shared" ref="M4:M7" si="3">_xlfn.RANK.AVG(L4,$L$3:$L$7,0)</f>
        <v>5</v>
      </c>
    </row>
    <row r="5" spans="1:13" x14ac:dyDescent="0.25">
      <c r="A5" s="45" t="s">
        <v>6</v>
      </c>
      <c r="B5" s="39">
        <f>SUM(Income_Table[A-March])</f>
        <v>2100</v>
      </c>
      <c r="C5" s="39">
        <f>SUM(Expence_Table[A-March])</f>
        <v>14</v>
      </c>
      <c r="D5" s="39">
        <f t="shared" si="0"/>
        <v>2086</v>
      </c>
      <c r="E5" s="46" t="str">
        <f t="shared" si="1"/>
        <v>Available</v>
      </c>
      <c r="F5" s="38"/>
      <c r="G5" s="45"/>
      <c r="H5" s="46"/>
      <c r="I5" s="55">
        <v>3</v>
      </c>
      <c r="J5" s="38" t="s">
        <v>83</v>
      </c>
      <c r="K5" s="109">
        <v>5000</v>
      </c>
      <c r="L5" s="40">
        <f t="shared" si="2"/>
        <v>0.93759999999999999</v>
      </c>
      <c r="M5" s="38">
        <f t="shared" si="3"/>
        <v>4</v>
      </c>
    </row>
    <row r="6" spans="1:13" x14ac:dyDescent="0.25">
      <c r="A6" s="45" t="s">
        <v>7</v>
      </c>
      <c r="B6" s="39">
        <f>SUM(Income_Table[A-April])</f>
        <v>2150</v>
      </c>
      <c r="C6" s="39">
        <f>SUM(Expence_Table[A-April])</f>
        <v>0</v>
      </c>
      <c r="D6" s="39">
        <f t="shared" si="0"/>
        <v>2150</v>
      </c>
      <c r="E6" s="46" t="str">
        <f t="shared" si="1"/>
        <v>Not Realized</v>
      </c>
      <c r="F6" s="38"/>
      <c r="G6" s="45"/>
      <c r="H6" s="46"/>
      <c r="I6" s="55">
        <v>4</v>
      </c>
      <c r="J6" s="38" t="s">
        <v>84</v>
      </c>
      <c r="K6" s="109">
        <v>1200</v>
      </c>
      <c r="L6" s="40">
        <f t="shared" si="2"/>
        <v>3.9066666666666667</v>
      </c>
      <c r="M6" s="38">
        <f t="shared" si="3"/>
        <v>2</v>
      </c>
    </row>
    <row r="7" spans="1:13" x14ac:dyDescent="0.25">
      <c r="A7" s="45" t="s">
        <v>8</v>
      </c>
      <c r="B7" s="39">
        <f>SUM(Income_Table[A-May])</f>
        <v>2100</v>
      </c>
      <c r="C7" s="39">
        <f>SUM(Expence_Table[A-May])</f>
        <v>0</v>
      </c>
      <c r="D7" s="39">
        <f t="shared" si="0"/>
        <v>2100</v>
      </c>
      <c r="E7" s="46" t="str">
        <f t="shared" si="1"/>
        <v>Not Realized</v>
      </c>
      <c r="F7" s="38"/>
      <c r="G7" s="45"/>
      <c r="H7" s="46"/>
      <c r="I7" s="55">
        <v>5</v>
      </c>
      <c r="J7" s="38" t="s">
        <v>85</v>
      </c>
      <c r="K7" s="109">
        <v>400</v>
      </c>
      <c r="L7" s="40">
        <f t="shared" si="2"/>
        <v>11.72</v>
      </c>
      <c r="M7" s="38">
        <f t="shared" si="3"/>
        <v>1</v>
      </c>
    </row>
    <row r="8" spans="1:13" x14ac:dyDescent="0.25">
      <c r="A8" s="45" t="s">
        <v>9</v>
      </c>
      <c r="B8" s="39">
        <f>SUM(Income_Table[A-June])</f>
        <v>2140</v>
      </c>
      <c r="C8" s="39">
        <f>SUM(Expence_Table[A-June])</f>
        <v>0</v>
      </c>
      <c r="D8" s="39">
        <f t="shared" si="0"/>
        <v>2140</v>
      </c>
      <c r="E8" s="46" t="str">
        <f t="shared" si="1"/>
        <v>Not Realized</v>
      </c>
      <c r="F8" s="38"/>
      <c r="G8" s="45"/>
      <c r="H8" s="46"/>
      <c r="I8" s="38"/>
      <c r="J8" s="38"/>
      <c r="K8" s="38"/>
      <c r="L8" s="38"/>
      <c r="M8" s="38"/>
    </row>
    <row r="9" spans="1:13" ht="15.75" x14ac:dyDescent="0.25">
      <c r="A9" s="45" t="s">
        <v>10</v>
      </c>
      <c r="B9" s="39">
        <f>SUM(Income_Table[A-July])</f>
        <v>2080</v>
      </c>
      <c r="C9" s="39">
        <f>SUM(Expence_Table[A-July])</f>
        <v>0</v>
      </c>
      <c r="D9" s="39">
        <f t="shared" si="0"/>
        <v>2080</v>
      </c>
      <c r="E9" s="46" t="str">
        <f t="shared" si="1"/>
        <v>Not Realized</v>
      </c>
      <c r="F9" s="38"/>
      <c r="G9" s="45"/>
      <c r="H9" s="46"/>
      <c r="I9" s="38"/>
      <c r="J9" s="99" t="s">
        <v>86</v>
      </c>
      <c r="K9" s="99"/>
      <c r="L9" s="99"/>
      <c r="M9" s="99"/>
    </row>
    <row r="10" spans="1:13" ht="26.25" x14ac:dyDescent="0.4">
      <c r="A10" s="45" t="s">
        <v>11</v>
      </c>
      <c r="B10" s="39">
        <f>SUM(Income_Table[A-August])</f>
        <v>2145</v>
      </c>
      <c r="C10" s="39">
        <f>SUM(Expence_Table[A-August])</f>
        <v>0</v>
      </c>
      <c r="D10" s="39">
        <f t="shared" si="0"/>
        <v>2145</v>
      </c>
      <c r="E10" s="46" t="str">
        <f t="shared" si="1"/>
        <v>Not Realized</v>
      </c>
      <c r="F10" s="38"/>
      <c r="G10" s="45"/>
      <c r="H10" s="46"/>
      <c r="I10" s="38">
        <v>1</v>
      </c>
      <c r="J10" s="49" t="str">
        <f>_xlfn.XLOOKUP(1,M3:M7,J3:J7)</f>
        <v>Laptop</v>
      </c>
      <c r="K10" s="66">
        <f>_xlfn.XLOOKUP(J10,J3:J7,K3:K7)</f>
        <v>400</v>
      </c>
      <c r="L10" s="38"/>
      <c r="M10" s="38"/>
    </row>
    <row r="11" spans="1:13" ht="18.75" x14ac:dyDescent="0.3">
      <c r="A11" s="45" t="s">
        <v>12</v>
      </c>
      <c r="B11" s="39">
        <f>SUM(Income_Table[A-September])</f>
        <v>0</v>
      </c>
      <c r="C11" s="39">
        <f>SUM(Expence_Table[A-September])</f>
        <v>0</v>
      </c>
      <c r="D11" s="39">
        <f t="shared" si="0"/>
        <v>0</v>
      </c>
      <c r="E11" s="46" t="str">
        <f t="shared" si="1"/>
        <v>Not Realized</v>
      </c>
      <c r="F11" s="38"/>
      <c r="G11" s="45"/>
      <c r="H11" s="46"/>
      <c r="I11" s="38">
        <v>2</v>
      </c>
      <c r="J11" s="50" t="s">
        <v>87</v>
      </c>
      <c r="K11" s="67">
        <f>H2-K10</f>
        <v>4288</v>
      </c>
      <c r="L11" s="38"/>
      <c r="M11" s="38"/>
    </row>
    <row r="12" spans="1:13" x14ac:dyDescent="0.25">
      <c r="A12" s="45" t="s">
        <v>13</v>
      </c>
      <c r="B12" s="39">
        <f>SUM(Income_Table[A-October])</f>
        <v>0</v>
      </c>
      <c r="C12" s="39">
        <f>SUM(Expence_Table[A-October])</f>
        <v>0</v>
      </c>
      <c r="D12" s="39">
        <f t="shared" si="0"/>
        <v>0</v>
      </c>
      <c r="E12" s="46" t="str">
        <f t="shared" si="1"/>
        <v>Not Realized</v>
      </c>
      <c r="F12" s="38"/>
      <c r="G12" s="45"/>
      <c r="H12" s="46"/>
      <c r="I12" s="38"/>
      <c r="J12" s="38"/>
      <c r="K12" s="38"/>
      <c r="L12" s="38"/>
      <c r="M12" s="38"/>
    </row>
    <row r="13" spans="1:13" x14ac:dyDescent="0.25">
      <c r="A13" s="45" t="s">
        <v>14</v>
      </c>
      <c r="B13" s="39">
        <f>SUM(Income_Table[A-November])</f>
        <v>0</v>
      </c>
      <c r="C13" s="39">
        <f>SUM(Expence_Table[A-November])</f>
        <v>0</v>
      </c>
      <c r="D13" s="39">
        <f t="shared" si="0"/>
        <v>0</v>
      </c>
      <c r="E13" s="46" t="str">
        <f t="shared" si="1"/>
        <v>Not Realized</v>
      </c>
      <c r="F13" s="38"/>
      <c r="G13" s="45"/>
      <c r="H13" s="46"/>
      <c r="I13" s="38"/>
      <c r="J13" s="38"/>
      <c r="K13" s="38"/>
      <c r="L13" s="38"/>
      <c r="M13" s="38"/>
    </row>
    <row r="14" spans="1:13" ht="15.75" thickBot="1" x14ac:dyDescent="0.3">
      <c r="A14" s="47" t="s">
        <v>15</v>
      </c>
      <c r="B14" s="48">
        <f>SUM(Income_Table[A-December])</f>
        <v>0</v>
      </c>
      <c r="C14" s="48">
        <f>SUM(Expence_Table[A-December])</f>
        <v>0</v>
      </c>
      <c r="D14" s="48">
        <f t="shared" si="0"/>
        <v>0</v>
      </c>
      <c r="E14" s="51" t="str">
        <f t="shared" si="1"/>
        <v>Not Realized</v>
      </c>
      <c r="F14" s="38"/>
      <c r="G14" s="47"/>
      <c r="H14" s="51"/>
      <c r="I14" s="38"/>
      <c r="J14" s="38"/>
      <c r="K14" s="38"/>
      <c r="L14" s="38"/>
      <c r="M14" s="38"/>
    </row>
    <row r="15" spans="1:13" x14ac:dyDescent="0.25">
      <c r="A15" s="38"/>
      <c r="B15" s="38"/>
      <c r="C15" s="38"/>
      <c r="D15" s="38"/>
      <c r="E15" s="38"/>
      <c r="F15" s="38"/>
      <c r="G15" s="38"/>
      <c r="H15" s="38"/>
      <c r="I15" s="38"/>
      <c r="J15" s="38"/>
      <c r="K15" s="38"/>
      <c r="L15" s="38"/>
      <c r="M15" s="38"/>
    </row>
    <row r="16" spans="1:13" x14ac:dyDescent="0.25">
      <c r="A16" s="64" t="s">
        <v>89</v>
      </c>
      <c r="B16" s="65"/>
      <c r="C16" s="38"/>
      <c r="D16" s="38"/>
      <c r="E16" s="38"/>
      <c r="F16" s="38"/>
      <c r="G16" s="38"/>
      <c r="H16" s="38"/>
      <c r="I16" s="38"/>
      <c r="J16" s="38"/>
      <c r="K16" s="38"/>
      <c r="L16" s="38"/>
      <c r="M16" s="38"/>
    </row>
    <row r="17" spans="1:13" x14ac:dyDescent="0.25">
      <c r="A17" s="38"/>
      <c r="B17" s="38"/>
      <c r="C17" s="38"/>
      <c r="D17" s="38" t="str">
        <f>_xlfn.XLOOKUP(A28,I3:I7,J3:J7)</f>
        <v>Building</v>
      </c>
      <c r="E17" s="56">
        <f>_xlfn.XLOOKUP(D17,J3:J7,K3:K7)</f>
        <v>5000</v>
      </c>
      <c r="F17" s="38"/>
      <c r="G17" s="57">
        <v>1</v>
      </c>
      <c r="H17" s="38"/>
      <c r="I17" s="38"/>
      <c r="J17" s="38"/>
      <c r="K17" s="38"/>
      <c r="L17" s="38"/>
      <c r="M17" s="38"/>
    </row>
    <row r="18" spans="1:13" x14ac:dyDescent="0.25">
      <c r="A18" s="38"/>
      <c r="B18" s="38"/>
      <c r="C18" s="38"/>
      <c r="D18" s="38" t="s">
        <v>91</v>
      </c>
      <c r="E18" s="56">
        <f>H2</f>
        <v>4688</v>
      </c>
      <c r="F18" s="38"/>
      <c r="G18" s="58">
        <f>E18/E17</f>
        <v>0.93759999999999999</v>
      </c>
      <c r="H18" s="38"/>
      <c r="I18" s="38"/>
      <c r="J18" s="38"/>
      <c r="K18" s="38"/>
      <c r="L18" s="38"/>
      <c r="M18" s="38"/>
    </row>
    <row r="19" spans="1:13" ht="72.75" x14ac:dyDescent="0.45">
      <c r="A19" s="38"/>
      <c r="B19" s="38"/>
      <c r="C19" s="38"/>
      <c r="D19" s="59" t="s">
        <v>90</v>
      </c>
      <c r="E19" s="60">
        <f>IF(H2&gt;E17,0,E17-H2)</f>
        <v>312</v>
      </c>
      <c r="F19" s="61"/>
      <c r="G19" s="62">
        <f>IF(E19=0,0,(G17-G18))</f>
        <v>6.2400000000000011E-2</v>
      </c>
      <c r="H19" s="38"/>
      <c r="I19" s="38"/>
      <c r="J19" s="38"/>
      <c r="K19" s="38"/>
      <c r="L19" s="38"/>
      <c r="M19" s="38"/>
    </row>
    <row r="20" spans="1:13" x14ac:dyDescent="0.25">
      <c r="A20" s="38"/>
      <c r="B20" s="38"/>
      <c r="C20" s="38"/>
      <c r="D20" s="38"/>
      <c r="E20" s="38"/>
      <c r="F20" s="38"/>
      <c r="G20" s="38"/>
      <c r="H20" s="38"/>
      <c r="I20" s="38"/>
      <c r="J20" s="38"/>
      <c r="K20" s="38"/>
      <c r="L20" s="38"/>
      <c r="M20" s="38"/>
    </row>
    <row r="21" spans="1:13" x14ac:dyDescent="0.25">
      <c r="A21" s="38"/>
      <c r="B21" s="38"/>
      <c r="C21" s="38"/>
      <c r="D21" s="38"/>
      <c r="E21" s="38"/>
      <c r="F21" s="38"/>
      <c r="G21" s="38"/>
      <c r="H21" s="38"/>
      <c r="I21" s="38"/>
      <c r="J21" s="38"/>
      <c r="K21" s="38"/>
      <c r="L21" s="38"/>
      <c r="M21" s="38"/>
    </row>
    <row r="22" spans="1:13" x14ac:dyDescent="0.25">
      <c r="A22" s="38"/>
      <c r="B22" s="38"/>
      <c r="C22" s="38"/>
      <c r="D22" s="38"/>
      <c r="E22" s="38"/>
      <c r="F22" s="38"/>
      <c r="G22" s="38"/>
      <c r="H22" s="38"/>
      <c r="I22" s="38"/>
      <c r="J22" s="38"/>
      <c r="K22" s="38"/>
      <c r="L22" s="38"/>
      <c r="M22" s="38"/>
    </row>
    <row r="23" spans="1:13" x14ac:dyDescent="0.25">
      <c r="A23" s="38"/>
      <c r="B23" s="38"/>
      <c r="C23" s="38"/>
      <c r="D23" s="38"/>
      <c r="E23" s="38"/>
      <c r="F23" s="38"/>
      <c r="G23" s="38"/>
      <c r="H23" s="38"/>
      <c r="I23" s="38"/>
      <c r="J23" s="38"/>
      <c r="K23" s="38"/>
      <c r="L23" s="38"/>
      <c r="M23" s="38"/>
    </row>
    <row r="24" spans="1:13" x14ac:dyDescent="0.25">
      <c r="A24" s="38"/>
      <c r="B24" s="38"/>
      <c r="C24" s="38"/>
      <c r="D24" s="38"/>
      <c r="E24" s="38"/>
      <c r="F24" s="38"/>
      <c r="G24" s="38"/>
      <c r="H24" s="38"/>
      <c r="I24" s="38"/>
      <c r="J24" s="38"/>
      <c r="K24" s="38"/>
      <c r="L24" s="38"/>
      <c r="M24" s="38"/>
    </row>
    <row r="25" spans="1:13" x14ac:dyDescent="0.25">
      <c r="A25" s="38"/>
      <c r="B25" s="38"/>
      <c r="C25" s="38"/>
      <c r="D25" s="38"/>
      <c r="E25" s="38"/>
      <c r="F25" s="38"/>
      <c r="G25" s="38"/>
      <c r="H25" s="38"/>
      <c r="I25" s="38"/>
      <c r="J25" s="38"/>
      <c r="K25" s="38"/>
      <c r="L25" s="38"/>
      <c r="M25" s="38"/>
    </row>
    <row r="26" spans="1:13" x14ac:dyDescent="0.25">
      <c r="A26" s="38"/>
      <c r="B26" s="38"/>
      <c r="C26" s="38"/>
      <c r="D26" s="38"/>
      <c r="E26" s="38"/>
      <c r="F26" s="38"/>
      <c r="G26" s="38"/>
      <c r="H26" s="38"/>
      <c r="I26" s="38"/>
      <c r="J26" s="38"/>
      <c r="K26" s="38"/>
      <c r="L26" s="38"/>
      <c r="M26" s="38"/>
    </row>
    <row r="27" spans="1:13" x14ac:dyDescent="0.25">
      <c r="A27" s="38"/>
      <c r="B27" s="38"/>
      <c r="C27" s="38"/>
      <c r="D27" s="38"/>
      <c r="E27" s="38"/>
      <c r="F27" s="38"/>
      <c r="G27" s="38"/>
      <c r="H27" s="38"/>
      <c r="I27" s="38"/>
      <c r="J27" s="38"/>
      <c r="K27" s="38"/>
      <c r="L27" s="38"/>
      <c r="M27" s="38"/>
    </row>
    <row r="28" spans="1:13" x14ac:dyDescent="0.25">
      <c r="A28" s="108">
        <v>3</v>
      </c>
    </row>
  </sheetData>
  <mergeCells count="2">
    <mergeCell ref="J9:M9"/>
    <mergeCell ref="A1:H1"/>
  </mergeCells>
  <conditionalFormatting sqref="B3:B14">
    <cfRule type="colorScale" priority="3">
      <colorScale>
        <cfvo type="min"/>
        <cfvo type="percentile" val="50"/>
        <cfvo type="max"/>
        <color rgb="FFF8696B"/>
        <color rgb="FFFFEB84"/>
        <color rgb="FF63BE7B"/>
      </colorScale>
    </cfRule>
  </conditionalFormatting>
  <conditionalFormatting sqref="C3:C14">
    <cfRule type="colorScale" priority="2">
      <colorScale>
        <cfvo type="min"/>
        <cfvo type="percentile" val="50"/>
        <cfvo type="max"/>
        <color rgb="FF63BE7B"/>
        <color rgb="FFFCFCFF"/>
        <color rgb="FFF8696B"/>
      </colorScale>
    </cfRule>
  </conditionalFormatting>
  <conditionalFormatting sqref="M3:M7">
    <cfRule type="colorScale" priority="1">
      <colorScale>
        <cfvo type="min"/>
        <cfvo type="percentile" val="50"/>
        <cfvo type="max"/>
        <color rgb="FF63BE7B"/>
        <color rgb="FFFFEB84"/>
        <color rgb="FFF8696B"/>
      </colorScale>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List Box 1">
              <controlPr defaultSize="0" autoLine="0" autoPict="0">
                <anchor moveWithCells="1">
                  <from>
                    <xdr:col>0</xdr:col>
                    <xdr:colOff>66675</xdr:colOff>
                    <xdr:row>16</xdr:row>
                    <xdr:rowOff>57150</xdr:rowOff>
                  </from>
                  <to>
                    <xdr:col>1</xdr:col>
                    <xdr:colOff>676275</xdr:colOff>
                    <xdr:row>23</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84783-5E04-4C9B-89A4-6E4B5FDA3E38}">
  <sheetPr>
    <tabColor rgb="FFFF0000"/>
  </sheetPr>
  <dimension ref="A1:H32"/>
  <sheetViews>
    <sheetView topLeftCell="A12" workbookViewId="0">
      <selection activeCell="J11" sqref="J11"/>
    </sheetView>
  </sheetViews>
  <sheetFormatPr defaultRowHeight="15" x14ac:dyDescent="0.25"/>
  <cols>
    <col min="1" max="1" width="13.42578125" bestFit="1" customWidth="1"/>
    <col min="2" max="2" width="14.140625" bestFit="1" customWidth="1"/>
    <col min="3" max="3" width="16.7109375" bestFit="1" customWidth="1"/>
    <col min="4" max="4" width="14.85546875" bestFit="1" customWidth="1"/>
    <col min="5" max="5" width="13.42578125" bestFit="1" customWidth="1"/>
    <col min="6" max="6" width="12.7109375" bestFit="1" customWidth="1"/>
    <col min="7" max="7" width="13.7109375" bestFit="1" customWidth="1"/>
    <col min="8" max="8" width="12.7109375" bestFit="1" customWidth="1"/>
    <col min="9" max="9" width="15.42578125" bestFit="1" customWidth="1"/>
    <col min="10" max="10" width="19.28515625" bestFit="1" customWidth="1"/>
    <col min="11" max="11" width="16.5703125" bestFit="1" customWidth="1"/>
    <col min="12" max="12" width="18.7109375" bestFit="1" customWidth="1"/>
    <col min="13" max="13" width="18.5703125" bestFit="1" customWidth="1"/>
  </cols>
  <sheetData>
    <row r="1" spans="1:8" x14ac:dyDescent="0.25">
      <c r="A1" s="38"/>
      <c r="B1" s="38"/>
      <c r="C1" s="38"/>
      <c r="D1" s="38"/>
      <c r="E1" s="38"/>
      <c r="F1" s="38"/>
      <c r="G1" s="38"/>
      <c r="H1" s="38"/>
    </row>
    <row r="2" spans="1:8" ht="30" x14ac:dyDescent="0.25">
      <c r="A2" s="69" t="s">
        <v>98</v>
      </c>
      <c r="B2" s="69" t="s">
        <v>95</v>
      </c>
      <c r="C2" s="69" t="s">
        <v>96</v>
      </c>
      <c r="D2" s="69" t="s">
        <v>100</v>
      </c>
      <c r="E2" s="70" t="s">
        <v>97</v>
      </c>
      <c r="F2" s="71" t="s">
        <v>99</v>
      </c>
      <c r="G2" s="38"/>
      <c r="H2" s="38"/>
    </row>
    <row r="3" spans="1:8" x14ac:dyDescent="0.25">
      <c r="A3" s="72" t="s">
        <v>45</v>
      </c>
      <c r="B3" s="56">
        <v>120</v>
      </c>
      <c r="C3" s="56">
        <v>12</v>
      </c>
      <c r="D3" s="57">
        <v>0.1</v>
      </c>
      <c r="E3" s="73">
        <v>1</v>
      </c>
      <c r="F3" s="74">
        <v>3</v>
      </c>
      <c r="G3" s="38"/>
      <c r="H3" s="38"/>
    </row>
    <row r="4" spans="1:8" x14ac:dyDescent="0.25">
      <c r="A4" s="72" t="s">
        <v>71</v>
      </c>
      <c r="B4" s="56">
        <v>25</v>
      </c>
      <c r="C4" s="56">
        <v>30</v>
      </c>
      <c r="D4" s="57">
        <v>1.2</v>
      </c>
      <c r="E4" s="73">
        <v>-1</v>
      </c>
      <c r="F4" s="74">
        <v>9</v>
      </c>
      <c r="G4" s="38"/>
      <c r="H4" s="38"/>
    </row>
    <row r="5" spans="1:8" x14ac:dyDescent="0.25">
      <c r="A5" s="72" t="s">
        <v>44</v>
      </c>
      <c r="B5" s="56">
        <v>360</v>
      </c>
      <c r="C5" s="56">
        <v>100</v>
      </c>
      <c r="D5" s="57">
        <v>0.27777777777777779</v>
      </c>
      <c r="E5" s="73">
        <v>0</v>
      </c>
      <c r="F5" s="74">
        <v>7</v>
      </c>
      <c r="G5" s="38"/>
      <c r="H5" s="38"/>
    </row>
    <row r="6" spans="1:8" x14ac:dyDescent="0.25">
      <c r="A6" s="72" t="s">
        <v>46</v>
      </c>
      <c r="B6" s="56">
        <v>348</v>
      </c>
      <c r="C6" s="56">
        <v>58</v>
      </c>
      <c r="D6" s="57">
        <v>0.16666666666666666</v>
      </c>
      <c r="E6" s="73">
        <v>1</v>
      </c>
      <c r="F6" s="74">
        <v>4</v>
      </c>
      <c r="G6" s="38"/>
      <c r="H6" s="38"/>
    </row>
    <row r="7" spans="1:8" x14ac:dyDescent="0.25">
      <c r="A7" s="72" t="s">
        <v>52</v>
      </c>
      <c r="B7" s="56">
        <v>360</v>
      </c>
      <c r="C7" s="56">
        <v>90</v>
      </c>
      <c r="D7" s="57">
        <v>0.25</v>
      </c>
      <c r="E7" s="73">
        <v>1</v>
      </c>
      <c r="F7" s="74">
        <v>6</v>
      </c>
      <c r="G7" s="38"/>
      <c r="H7" s="38"/>
    </row>
    <row r="8" spans="1:8" x14ac:dyDescent="0.25">
      <c r="A8" s="72" t="s">
        <v>48</v>
      </c>
      <c r="B8" s="56">
        <v>600</v>
      </c>
      <c r="C8" s="56">
        <v>50</v>
      </c>
      <c r="D8" s="57">
        <v>8.3333333333333329E-2</v>
      </c>
      <c r="E8" s="73">
        <v>1</v>
      </c>
      <c r="F8" s="74">
        <v>1</v>
      </c>
      <c r="G8" s="38"/>
      <c r="H8" s="38"/>
    </row>
    <row r="9" spans="1:8" x14ac:dyDescent="0.25">
      <c r="A9" s="72" t="s">
        <v>51</v>
      </c>
      <c r="B9" s="56">
        <v>1200</v>
      </c>
      <c r="C9" s="56">
        <v>240</v>
      </c>
      <c r="D9" s="57">
        <v>0.2</v>
      </c>
      <c r="E9" s="73">
        <v>1</v>
      </c>
      <c r="F9" s="74">
        <v>5</v>
      </c>
      <c r="G9" s="38"/>
      <c r="H9" s="38"/>
    </row>
    <row r="10" spans="1:8" x14ac:dyDescent="0.25">
      <c r="A10" s="72" t="s">
        <v>47</v>
      </c>
      <c r="B10" s="56">
        <v>144</v>
      </c>
      <c r="C10" s="56">
        <v>24</v>
      </c>
      <c r="D10" s="57">
        <v>0.16666666666666666</v>
      </c>
      <c r="E10" s="73">
        <v>1</v>
      </c>
      <c r="F10" s="74">
        <v>4</v>
      </c>
      <c r="G10" s="38"/>
      <c r="H10" s="38"/>
    </row>
    <row r="11" spans="1:8" x14ac:dyDescent="0.25">
      <c r="A11" s="72" t="s">
        <v>43</v>
      </c>
      <c r="B11" s="56">
        <v>5400</v>
      </c>
      <c r="C11" s="56">
        <v>900</v>
      </c>
      <c r="D11" s="57">
        <v>0.16666666666666666</v>
      </c>
      <c r="E11" s="73">
        <v>1</v>
      </c>
      <c r="F11" s="74">
        <v>4</v>
      </c>
      <c r="G11" s="38"/>
      <c r="H11" s="38"/>
    </row>
    <row r="12" spans="1:8" x14ac:dyDescent="0.25">
      <c r="A12" s="72" t="s">
        <v>72</v>
      </c>
      <c r="B12" s="56">
        <v>30</v>
      </c>
      <c r="C12" s="56">
        <v>38</v>
      </c>
      <c r="D12" s="57">
        <v>1.2666666666666666</v>
      </c>
      <c r="E12" s="73">
        <v>-1</v>
      </c>
      <c r="F12" s="74">
        <v>10</v>
      </c>
      <c r="G12" s="38"/>
      <c r="H12" s="38"/>
    </row>
    <row r="13" spans="1:8" x14ac:dyDescent="0.25">
      <c r="A13" s="72" t="s">
        <v>49</v>
      </c>
      <c r="B13" s="56">
        <v>6600</v>
      </c>
      <c r="C13" s="56">
        <v>600</v>
      </c>
      <c r="D13" s="57">
        <v>9.0909090909090912E-2</v>
      </c>
      <c r="E13" s="73">
        <v>1</v>
      </c>
      <c r="F13" s="74">
        <v>2</v>
      </c>
      <c r="G13" s="38"/>
      <c r="H13" s="38"/>
    </row>
    <row r="14" spans="1:8" x14ac:dyDescent="0.25">
      <c r="A14" s="72" t="s">
        <v>70</v>
      </c>
      <c r="B14" s="56">
        <v>180</v>
      </c>
      <c r="C14" s="56">
        <v>170</v>
      </c>
      <c r="D14" s="57">
        <v>0.94444444444444442</v>
      </c>
      <c r="E14" s="73">
        <v>-1</v>
      </c>
      <c r="F14" s="74">
        <v>8</v>
      </c>
      <c r="G14" s="38"/>
      <c r="H14" s="38"/>
    </row>
    <row r="15" spans="1:8" x14ac:dyDescent="0.25">
      <c r="A15" s="72" t="s">
        <v>94</v>
      </c>
      <c r="B15" s="56">
        <v>15367</v>
      </c>
      <c r="C15" s="56">
        <v>2312</v>
      </c>
      <c r="D15" s="57">
        <v>0.15045226784668445</v>
      </c>
      <c r="E15" s="73">
        <v>1</v>
      </c>
      <c r="F15" s="75"/>
      <c r="G15" s="38"/>
      <c r="H15" s="38"/>
    </row>
    <row r="16" spans="1:8" x14ac:dyDescent="0.25">
      <c r="A16" s="38"/>
      <c r="B16" s="38"/>
      <c r="C16" s="38"/>
      <c r="D16" s="38"/>
      <c r="E16" s="38"/>
      <c r="F16" s="38"/>
      <c r="G16" s="38"/>
      <c r="H16" s="38"/>
    </row>
    <row r="17" spans="1:8" x14ac:dyDescent="0.25">
      <c r="A17" s="38"/>
      <c r="B17" s="38"/>
      <c r="C17" s="38"/>
      <c r="D17" s="38"/>
      <c r="E17" s="38"/>
      <c r="F17" s="38"/>
      <c r="G17" s="38"/>
      <c r="H17" s="38"/>
    </row>
    <row r="18" spans="1:8" x14ac:dyDescent="0.25">
      <c r="A18" s="38" t="s">
        <v>93</v>
      </c>
      <c r="B18" s="38" t="s">
        <v>96</v>
      </c>
      <c r="C18" s="38" t="s">
        <v>101</v>
      </c>
      <c r="D18" s="38"/>
      <c r="E18" s="38"/>
      <c r="F18" s="38"/>
      <c r="G18" s="38"/>
      <c r="H18" s="38"/>
    </row>
    <row r="19" spans="1:8" x14ac:dyDescent="0.25">
      <c r="A19" s="72" t="s">
        <v>45</v>
      </c>
      <c r="B19" s="56">
        <v>12</v>
      </c>
      <c r="C19" s="76">
        <v>5.1903114186851208E-3</v>
      </c>
      <c r="D19" s="38"/>
      <c r="E19" s="38"/>
      <c r="F19" s="38"/>
      <c r="G19" s="38"/>
      <c r="H19" s="38"/>
    </row>
    <row r="20" spans="1:8" x14ac:dyDescent="0.25">
      <c r="A20" s="72" t="s">
        <v>71</v>
      </c>
      <c r="B20" s="56">
        <v>30</v>
      </c>
      <c r="C20" s="76">
        <v>1.2975778546712802E-2</v>
      </c>
      <c r="D20" s="38"/>
      <c r="E20" s="38"/>
      <c r="F20" s="38"/>
      <c r="G20" s="38"/>
      <c r="H20" s="38"/>
    </row>
    <row r="21" spans="1:8" x14ac:dyDescent="0.25">
      <c r="A21" s="72" t="s">
        <v>44</v>
      </c>
      <c r="B21" s="56">
        <v>100</v>
      </c>
      <c r="C21" s="76">
        <v>4.3252595155709339E-2</v>
      </c>
      <c r="D21" s="38"/>
      <c r="E21" s="38"/>
      <c r="F21" s="38"/>
      <c r="G21" s="38"/>
      <c r="H21" s="38"/>
    </row>
    <row r="22" spans="1:8" x14ac:dyDescent="0.25">
      <c r="A22" s="72" t="s">
        <v>46</v>
      </c>
      <c r="B22" s="56">
        <v>58</v>
      </c>
      <c r="C22" s="76">
        <v>2.5086505190311418E-2</v>
      </c>
      <c r="D22" s="38"/>
      <c r="E22" s="38"/>
      <c r="F22" s="38"/>
      <c r="G22" s="38"/>
      <c r="H22" s="38"/>
    </row>
    <row r="23" spans="1:8" x14ac:dyDescent="0.25">
      <c r="A23" s="72" t="s">
        <v>52</v>
      </c>
      <c r="B23" s="56">
        <v>90</v>
      </c>
      <c r="C23" s="76">
        <v>3.8927335640138408E-2</v>
      </c>
      <c r="D23" s="38"/>
      <c r="E23" s="38"/>
      <c r="F23" s="38"/>
      <c r="G23" s="38"/>
      <c r="H23" s="38"/>
    </row>
    <row r="24" spans="1:8" x14ac:dyDescent="0.25">
      <c r="A24" s="72" t="s">
        <v>48</v>
      </c>
      <c r="B24" s="56">
        <v>50</v>
      </c>
      <c r="C24" s="76">
        <v>2.162629757785467E-2</v>
      </c>
      <c r="D24" s="38"/>
      <c r="E24" s="38"/>
      <c r="F24" s="38"/>
      <c r="G24" s="38"/>
      <c r="H24" s="38"/>
    </row>
    <row r="25" spans="1:8" x14ac:dyDescent="0.25">
      <c r="A25" s="72" t="s">
        <v>51</v>
      </c>
      <c r="B25" s="56">
        <v>240</v>
      </c>
      <c r="C25" s="76">
        <v>0.10380622837370242</v>
      </c>
      <c r="D25" s="38"/>
      <c r="E25" s="38"/>
      <c r="F25" s="38"/>
      <c r="G25" s="38"/>
      <c r="H25" s="38"/>
    </row>
    <row r="26" spans="1:8" x14ac:dyDescent="0.25">
      <c r="A26" s="72" t="s">
        <v>47</v>
      </c>
      <c r="B26" s="56">
        <v>24</v>
      </c>
      <c r="C26" s="76">
        <v>1.0380622837370242E-2</v>
      </c>
      <c r="D26" s="38"/>
      <c r="E26" s="38"/>
      <c r="F26" s="38"/>
      <c r="G26" s="38"/>
      <c r="H26" s="38"/>
    </row>
    <row r="27" spans="1:8" x14ac:dyDescent="0.25">
      <c r="A27" s="72" t="s">
        <v>43</v>
      </c>
      <c r="B27" s="56">
        <v>900</v>
      </c>
      <c r="C27" s="76">
        <v>0.38927335640138411</v>
      </c>
      <c r="D27" s="38"/>
      <c r="E27" s="38"/>
      <c r="F27" s="38"/>
      <c r="G27" s="38"/>
      <c r="H27" s="38"/>
    </row>
    <row r="28" spans="1:8" x14ac:dyDescent="0.25">
      <c r="A28" s="72" t="s">
        <v>72</v>
      </c>
      <c r="B28" s="56">
        <v>38</v>
      </c>
      <c r="C28" s="76">
        <v>1.6435986159169549E-2</v>
      </c>
      <c r="D28" s="38"/>
      <c r="E28" s="38"/>
      <c r="F28" s="38"/>
      <c r="G28" s="38"/>
      <c r="H28" s="38"/>
    </row>
    <row r="29" spans="1:8" x14ac:dyDescent="0.25">
      <c r="A29" s="72" t="s">
        <v>49</v>
      </c>
      <c r="B29" s="56">
        <v>600</v>
      </c>
      <c r="C29" s="76">
        <v>0.25951557093425603</v>
      </c>
      <c r="D29" s="38"/>
      <c r="E29" s="38"/>
      <c r="F29" s="38"/>
      <c r="G29" s="38"/>
      <c r="H29" s="38"/>
    </row>
    <row r="30" spans="1:8" x14ac:dyDescent="0.25">
      <c r="A30" s="72" t="s">
        <v>70</v>
      </c>
      <c r="B30" s="56">
        <v>170</v>
      </c>
      <c r="C30" s="76">
        <v>7.3529411764705885E-2</v>
      </c>
      <c r="D30" s="38"/>
      <c r="E30" s="38"/>
      <c r="F30" s="38"/>
      <c r="G30" s="38"/>
      <c r="H30" s="38"/>
    </row>
    <row r="31" spans="1:8" x14ac:dyDescent="0.25">
      <c r="A31" s="72" t="s">
        <v>94</v>
      </c>
      <c r="B31" s="56">
        <v>2312</v>
      </c>
      <c r="C31" s="76">
        <v>1</v>
      </c>
      <c r="D31" s="38"/>
      <c r="E31" s="38"/>
      <c r="F31" s="38"/>
      <c r="G31" s="38"/>
      <c r="H31" s="38"/>
    </row>
    <row r="32" spans="1:8" x14ac:dyDescent="0.25">
      <c r="A32" s="38"/>
      <c r="B32" s="38"/>
      <c r="C32" s="38"/>
      <c r="D32" s="38"/>
      <c r="E32" s="38"/>
      <c r="F32" s="38"/>
      <c r="G32" s="38"/>
      <c r="H32" s="38"/>
    </row>
  </sheetData>
  <conditionalFormatting pivot="1" sqref="E3:E15">
    <cfRule type="iconSet" priority="5">
      <iconSet iconSet="3TrafficLights2" showValue="0">
        <cfvo type="num" val="-1"/>
        <cfvo type="num" val="-0.5"/>
        <cfvo type="num" val="0.5"/>
      </iconSet>
    </cfRule>
  </conditionalFormatting>
  <conditionalFormatting pivot="1" sqref="B3:C14">
    <cfRule type="dataBar" priority="4">
      <dataBar>
        <cfvo type="min"/>
        <cfvo type="max"/>
        <color rgb="FF008AEF"/>
      </dataBar>
      <extLst>
        <ext xmlns:x14="http://schemas.microsoft.com/office/spreadsheetml/2009/9/main" uri="{B025F937-C7B1-47D3-B67F-A62EFF666E3E}">
          <x14:id>{89ACF0AD-4C1E-4ACF-A5EB-504C079EB008}</x14:id>
        </ext>
      </extLst>
    </cfRule>
  </conditionalFormatting>
  <conditionalFormatting pivot="1" sqref="F3:F14">
    <cfRule type="colorScale" priority="2">
      <colorScale>
        <cfvo type="min"/>
        <cfvo type="percentile" val="50"/>
        <cfvo type="max"/>
        <color rgb="FF63BE7B"/>
        <color rgb="FFFCFCFF"/>
        <color rgb="FFF8696B"/>
      </colorScale>
    </cfRule>
  </conditionalFormatting>
  <conditionalFormatting pivot="1" sqref="C19:C30">
    <cfRule type="dataBar" priority="1">
      <dataBar>
        <cfvo type="min"/>
        <cfvo type="max"/>
        <color rgb="FF008AEF"/>
      </dataBar>
      <extLst>
        <ext xmlns:x14="http://schemas.microsoft.com/office/spreadsheetml/2009/9/main" uri="{B025F937-C7B1-47D3-B67F-A62EFF666E3E}">
          <x14:id>{51983C88-8B15-4E20-8C2E-9019BBE76B96}</x14:id>
        </ext>
      </extLst>
    </cfRule>
  </conditionalFormatting>
  <pageMargins left="0.7" right="0.7" top="0.75" bottom="0.75" header="0.3" footer="0.3"/>
  <drawing r:id="rId3"/>
  <extLst>
    <ext xmlns:x14="http://schemas.microsoft.com/office/spreadsheetml/2009/9/main" uri="{78C0D931-6437-407d-A8EE-F0AAD7539E65}">
      <x14:conditionalFormattings>
        <x14:conditionalFormatting xmlns:xm="http://schemas.microsoft.com/office/excel/2006/main" pivot="1">
          <x14:cfRule type="dataBar" id="{89ACF0AD-4C1E-4ACF-A5EB-504C079EB008}">
            <x14:dataBar minLength="0" maxLength="100" gradient="0">
              <x14:cfvo type="autoMin"/>
              <x14:cfvo type="autoMax"/>
              <x14:negativeFillColor rgb="FFFF0000"/>
              <x14:axisColor rgb="FF000000"/>
            </x14:dataBar>
          </x14:cfRule>
          <xm:sqref>B3:C14</xm:sqref>
        </x14:conditionalFormatting>
        <x14:conditionalFormatting xmlns:xm="http://schemas.microsoft.com/office/excel/2006/main" pivot="1">
          <x14:cfRule type="dataBar" id="{51983C88-8B15-4E20-8C2E-9019BBE76B96}">
            <x14:dataBar minLength="0" maxLength="100" border="1" negativeBarBorderColorSameAsPositive="0">
              <x14:cfvo type="autoMin"/>
              <x14:cfvo type="autoMax"/>
              <x14:borderColor rgb="FF008AEF"/>
              <x14:negativeFillColor rgb="FFFF0000"/>
              <x14:negativeBorderColor rgb="FFFF0000"/>
              <x14:axisColor rgb="FF000000"/>
            </x14:dataBar>
          </x14:cfRule>
          <xm:sqref>C19:C30</xm:sqref>
        </x14:conditionalFormatting>
      </x14:conditionalFormattings>
    </ex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C65F-7644-4C7B-94A0-97D6272E70C1}">
  <sheetPr>
    <tabColor theme="7"/>
  </sheetPr>
  <dimension ref="B1:Q21"/>
  <sheetViews>
    <sheetView workbookViewId="0">
      <selection activeCell="F5" sqref="F5"/>
    </sheetView>
  </sheetViews>
  <sheetFormatPr defaultRowHeight="15" x14ac:dyDescent="0.25"/>
  <cols>
    <col min="2" max="4" width="16.7109375" customWidth="1"/>
    <col min="5" max="5" width="19" customWidth="1"/>
    <col min="8" max="8" width="16" customWidth="1"/>
    <col min="9" max="9" width="12.5703125" customWidth="1"/>
    <col min="10" max="10" width="13.85546875" customWidth="1"/>
    <col min="11" max="11" width="11.7109375" customWidth="1"/>
  </cols>
  <sheetData>
    <row r="1" spans="2:12" ht="15.75" thickBot="1" x14ac:dyDescent="0.3"/>
    <row r="2" spans="2:12" ht="21.75" thickBot="1" x14ac:dyDescent="0.4">
      <c r="B2" s="101" t="s">
        <v>102</v>
      </c>
      <c r="C2" s="102"/>
      <c r="D2" s="102"/>
      <c r="E2" s="103"/>
      <c r="G2" s="104" t="s">
        <v>103</v>
      </c>
      <c r="H2" s="105"/>
      <c r="I2" s="105"/>
      <c r="J2" s="105"/>
      <c r="K2" s="106"/>
    </row>
    <row r="3" spans="2:12" x14ac:dyDescent="0.25">
      <c r="B3" s="77" t="s">
        <v>104</v>
      </c>
      <c r="C3" s="78">
        <f ca="1">NOW()</f>
        <v>45573.600845833331</v>
      </c>
      <c r="D3" s="79" t="s">
        <v>105</v>
      </c>
      <c r="E3" s="111">
        <v>2.16</v>
      </c>
      <c r="G3" s="80" t="s">
        <v>106</v>
      </c>
      <c r="H3" s="81" t="s">
        <v>107</v>
      </c>
      <c r="I3" s="81" t="s">
        <v>108</v>
      </c>
      <c r="J3" s="81" t="s">
        <v>109</v>
      </c>
      <c r="K3" s="81" t="s">
        <v>110</v>
      </c>
      <c r="L3" s="68"/>
    </row>
    <row r="4" spans="2:12" x14ac:dyDescent="0.25">
      <c r="B4" s="82" t="s">
        <v>111</v>
      </c>
      <c r="C4" s="110" t="s">
        <v>112</v>
      </c>
      <c r="D4" t="s">
        <v>113</v>
      </c>
      <c r="E4" s="112">
        <v>1</v>
      </c>
      <c r="G4" s="83">
        <v>1</v>
      </c>
      <c r="H4" s="84">
        <f>Loan_Amount</f>
        <v>150000</v>
      </c>
      <c r="I4" s="84">
        <f>IF(G4&lt;=$E$4,PV(Rate/12,12*(Term-G4),-Monthly_Payments),0)</f>
        <v>0</v>
      </c>
      <c r="J4" s="84">
        <f>H4-I4</f>
        <v>150000</v>
      </c>
      <c r="K4" s="84">
        <f>IF(H4&gt;0,12*$E$5-J4,0)</f>
        <v>225530.05598774413</v>
      </c>
    </row>
    <row r="5" spans="2:12" x14ac:dyDescent="0.25">
      <c r="B5" s="82" t="s">
        <v>114</v>
      </c>
      <c r="C5" s="109">
        <v>150000</v>
      </c>
      <c r="D5" t="s">
        <v>115</v>
      </c>
      <c r="E5" s="113">
        <f>-PMT(Rate/12,12*Term,Loan_Amount)</f>
        <v>31294.171332312009</v>
      </c>
      <c r="G5" s="83">
        <v>2</v>
      </c>
      <c r="H5" s="84">
        <f>I4</f>
        <v>0</v>
      </c>
      <c r="I5" s="84">
        <f t="shared" ref="I5:I18" si="0">IF(G5&lt;=$E$4,PV(Rate/12,12*(Term-G5),-Monthly_Payments),0)</f>
        <v>0</v>
      </c>
      <c r="J5" s="84">
        <f t="shared" ref="J5:J18" si="1">H5-I5</f>
        <v>0</v>
      </c>
      <c r="K5" s="84">
        <f t="shared" ref="K5:K18" si="2">IF(H5&gt;0,12*$E$5-J5,0)</f>
        <v>0</v>
      </c>
    </row>
    <row r="6" spans="2:12" x14ac:dyDescent="0.25">
      <c r="B6" s="82" t="s">
        <v>116</v>
      </c>
      <c r="C6" s="109">
        <v>0</v>
      </c>
      <c r="D6" t="s">
        <v>117</v>
      </c>
      <c r="E6" s="113">
        <f>12*Term*Monthly_Payments-Loan_Amount</f>
        <v>225530.05598774413</v>
      </c>
      <c r="G6" s="83">
        <v>3</v>
      </c>
      <c r="H6" s="84">
        <f>I5</f>
        <v>0</v>
      </c>
      <c r="I6" s="84">
        <f t="shared" si="0"/>
        <v>0</v>
      </c>
      <c r="J6" s="84">
        <f t="shared" si="1"/>
        <v>0</v>
      </c>
      <c r="K6" s="84">
        <f t="shared" si="2"/>
        <v>0</v>
      </c>
    </row>
    <row r="7" spans="2:12" ht="15.75" thickBot="1" x14ac:dyDescent="0.3">
      <c r="B7" s="85" t="s">
        <v>118</v>
      </c>
      <c r="C7" s="113">
        <f>Price-Down_Pymt.</f>
        <v>150000</v>
      </c>
      <c r="D7" s="86" t="s">
        <v>119</v>
      </c>
      <c r="E7" s="113">
        <f>Price+Total_Interest</f>
        <v>375530.05598774413</v>
      </c>
      <c r="G7" s="83">
        <v>4</v>
      </c>
      <c r="H7" s="84">
        <f>I6</f>
        <v>0</v>
      </c>
      <c r="I7" s="84">
        <f t="shared" si="0"/>
        <v>0</v>
      </c>
      <c r="J7" s="84">
        <f t="shared" si="1"/>
        <v>0</v>
      </c>
      <c r="K7" s="84">
        <f t="shared" si="2"/>
        <v>0</v>
      </c>
    </row>
    <row r="8" spans="2:12" ht="21.75" thickBot="1" x14ac:dyDescent="0.4">
      <c r="B8" s="107" t="s">
        <v>120</v>
      </c>
      <c r="C8" s="107"/>
      <c r="D8" s="107"/>
      <c r="E8" s="107"/>
      <c r="G8" s="83">
        <v>5</v>
      </c>
      <c r="H8" s="84">
        <f t="shared" ref="H8:H18" si="3">I7</f>
        <v>0</v>
      </c>
      <c r="I8" s="84">
        <f t="shared" si="0"/>
        <v>0</v>
      </c>
      <c r="J8" s="84">
        <f t="shared" si="1"/>
        <v>0</v>
      </c>
      <c r="K8" s="84">
        <f t="shared" si="2"/>
        <v>0</v>
      </c>
    </row>
    <row r="9" spans="2:12" ht="15.75" thickBot="1" x14ac:dyDescent="0.3">
      <c r="B9" s="114" t="s">
        <v>105</v>
      </c>
      <c r="C9" s="115" t="s">
        <v>115</v>
      </c>
      <c r="D9" s="115" t="s">
        <v>117</v>
      </c>
      <c r="E9" s="116" t="s">
        <v>119</v>
      </c>
      <c r="G9" s="83">
        <v>6</v>
      </c>
      <c r="H9" s="84">
        <f t="shared" si="3"/>
        <v>0</v>
      </c>
      <c r="I9" s="84">
        <f t="shared" si="0"/>
        <v>0</v>
      </c>
      <c r="J9" s="84">
        <f t="shared" si="1"/>
        <v>0</v>
      </c>
      <c r="K9" s="84">
        <f t="shared" si="2"/>
        <v>0</v>
      </c>
    </row>
    <row r="10" spans="2:12" x14ac:dyDescent="0.25">
      <c r="B10" s="117"/>
      <c r="C10" s="87">
        <f>Monthly_Payments</f>
        <v>31294.171332312009</v>
      </c>
      <c r="D10" s="87">
        <f>Total_Interest</f>
        <v>225530.05598774413</v>
      </c>
      <c r="E10" s="118">
        <f>Total_Cost</f>
        <v>375530.05598774413</v>
      </c>
      <c r="G10" s="83">
        <v>7</v>
      </c>
      <c r="H10" s="84">
        <f t="shared" si="3"/>
        <v>0</v>
      </c>
      <c r="I10" s="84">
        <f t="shared" si="0"/>
        <v>0</v>
      </c>
      <c r="J10" s="84">
        <f t="shared" si="1"/>
        <v>0</v>
      </c>
      <c r="K10" s="84">
        <f t="shared" si="2"/>
        <v>0</v>
      </c>
    </row>
    <row r="11" spans="2:12" x14ac:dyDescent="0.25">
      <c r="B11" s="119">
        <v>2.5000000000000001E-2</v>
      </c>
      <c r="C11" s="87">
        <v>29665.39806274066</v>
      </c>
      <c r="D11" s="87">
        <v>205984.77675288793</v>
      </c>
      <c r="E11" s="118">
        <v>355984.77675288793</v>
      </c>
      <c r="G11" s="83">
        <v>8</v>
      </c>
      <c r="H11" s="84">
        <f t="shared" si="3"/>
        <v>0</v>
      </c>
      <c r="I11" s="84">
        <f t="shared" si="0"/>
        <v>0</v>
      </c>
      <c r="J11" s="84">
        <f t="shared" si="1"/>
        <v>0</v>
      </c>
      <c r="K11" s="84">
        <f t="shared" si="2"/>
        <v>0</v>
      </c>
    </row>
    <row r="12" spans="2:12" x14ac:dyDescent="0.25">
      <c r="B12" s="119">
        <v>0.05</v>
      </c>
      <c r="C12" s="87">
        <v>29867.383760249053</v>
      </c>
      <c r="D12" s="87">
        <v>208408.60512298864</v>
      </c>
      <c r="E12" s="118">
        <v>358408.60512298864</v>
      </c>
      <c r="G12" s="83">
        <v>9</v>
      </c>
      <c r="H12" s="84">
        <f t="shared" si="3"/>
        <v>0</v>
      </c>
      <c r="I12" s="84">
        <f t="shared" si="0"/>
        <v>0</v>
      </c>
      <c r="J12" s="84">
        <f t="shared" si="1"/>
        <v>0</v>
      </c>
      <c r="K12" s="84">
        <f t="shared" si="2"/>
        <v>0</v>
      </c>
    </row>
    <row r="13" spans="2:12" x14ac:dyDescent="0.25">
      <c r="B13" s="119">
        <v>7.4999999999999997E-2</v>
      </c>
      <c r="C13" s="87">
        <v>30069.837289436171</v>
      </c>
      <c r="D13" s="87">
        <v>210838.04747323407</v>
      </c>
      <c r="E13" s="118">
        <v>360838.04747323407</v>
      </c>
      <c r="G13" s="83">
        <v>10</v>
      </c>
      <c r="H13" s="84">
        <f t="shared" si="3"/>
        <v>0</v>
      </c>
      <c r="I13" s="84">
        <f t="shared" si="0"/>
        <v>0</v>
      </c>
      <c r="J13" s="84">
        <f t="shared" si="1"/>
        <v>0</v>
      </c>
      <c r="K13" s="84">
        <f t="shared" si="2"/>
        <v>0</v>
      </c>
    </row>
    <row r="14" spans="2:12" x14ac:dyDescent="0.25">
      <c r="B14" s="119">
        <v>0.1</v>
      </c>
      <c r="C14" s="87">
        <v>30272.754853899154</v>
      </c>
      <c r="D14" s="87">
        <v>213273.05824678985</v>
      </c>
      <c r="E14" s="118">
        <v>363273.05824678985</v>
      </c>
      <c r="G14" s="83">
        <v>11</v>
      </c>
      <c r="H14" s="84">
        <f t="shared" si="3"/>
        <v>0</v>
      </c>
      <c r="I14" s="84">
        <f t="shared" si="0"/>
        <v>0</v>
      </c>
      <c r="J14" s="84">
        <f t="shared" si="1"/>
        <v>0</v>
      </c>
      <c r="K14" s="84">
        <f t="shared" si="2"/>
        <v>0</v>
      </c>
    </row>
    <row r="15" spans="2:12" x14ac:dyDescent="0.25">
      <c r="B15" s="119">
        <v>0.125</v>
      </c>
      <c r="C15" s="87">
        <v>30476.132671289975</v>
      </c>
      <c r="D15" s="87">
        <v>215713.5920554797</v>
      </c>
      <c r="E15" s="118">
        <v>365713.5920554797</v>
      </c>
      <c r="G15" s="83">
        <v>12</v>
      </c>
      <c r="H15" s="84">
        <f t="shared" si="3"/>
        <v>0</v>
      </c>
      <c r="I15" s="84">
        <f t="shared" si="0"/>
        <v>0</v>
      </c>
      <c r="J15" s="84">
        <f>H15-I15</f>
        <v>0</v>
      </c>
      <c r="K15" s="84">
        <f t="shared" si="2"/>
        <v>0</v>
      </c>
    </row>
    <row r="16" spans="2:12" x14ac:dyDescent="0.25">
      <c r="B16" s="119">
        <v>0.15</v>
      </c>
      <c r="C16" s="87">
        <v>30679.966973627252</v>
      </c>
      <c r="D16" s="87">
        <v>218159.60368352704</v>
      </c>
      <c r="E16" s="118">
        <v>368159.60368352704</v>
      </c>
      <c r="G16" s="83">
        <v>13</v>
      </c>
      <c r="H16" s="84">
        <f t="shared" si="3"/>
        <v>0</v>
      </c>
      <c r="I16" s="84">
        <f t="shared" si="0"/>
        <v>0</v>
      </c>
      <c r="J16" s="84">
        <f t="shared" si="1"/>
        <v>0</v>
      </c>
      <c r="K16" s="84">
        <f t="shared" si="2"/>
        <v>0</v>
      </c>
    </row>
    <row r="17" spans="2:17" x14ac:dyDescent="0.25">
      <c r="B17" s="119">
        <v>0.17499999999999999</v>
      </c>
      <c r="C17" s="87">
        <v>30884.254007599484</v>
      </c>
      <c r="D17" s="87">
        <v>220611.04809119378</v>
      </c>
      <c r="E17" s="118">
        <v>370611.04809119378</v>
      </c>
      <c r="G17" s="83">
        <v>14</v>
      </c>
      <c r="H17" s="84">
        <f t="shared" si="3"/>
        <v>0</v>
      </c>
      <c r="I17" s="84">
        <f t="shared" si="0"/>
        <v>0</v>
      </c>
      <c r="J17" s="84">
        <f t="shared" si="1"/>
        <v>0</v>
      </c>
      <c r="K17" s="84">
        <f t="shared" si="2"/>
        <v>0</v>
      </c>
    </row>
    <row r="18" spans="2:17" ht="15.75" thickBot="1" x14ac:dyDescent="0.3">
      <c r="B18" s="119">
        <v>0.2</v>
      </c>
      <c r="C18" s="87">
        <v>31088.990034859762</v>
      </c>
      <c r="D18" s="87">
        <v>223067.88041831716</v>
      </c>
      <c r="E18" s="118">
        <v>373067.88041831716</v>
      </c>
      <c r="G18" s="88">
        <v>15</v>
      </c>
      <c r="H18" s="89">
        <f t="shared" si="3"/>
        <v>0</v>
      </c>
      <c r="I18" s="89">
        <f t="shared" si="0"/>
        <v>0</v>
      </c>
      <c r="J18" s="89">
        <f t="shared" si="1"/>
        <v>0</v>
      </c>
      <c r="K18" s="89">
        <f t="shared" si="2"/>
        <v>0</v>
      </c>
    </row>
    <row r="19" spans="2:17" x14ac:dyDescent="0.25">
      <c r="B19" s="119">
        <v>0.22500000000000001</v>
      </c>
      <c r="C19" s="87">
        <v>31294.171332312009</v>
      </c>
      <c r="D19" s="87">
        <v>225530.05598774413</v>
      </c>
      <c r="E19" s="118">
        <v>375530.05598774413</v>
      </c>
      <c r="G19" s="90"/>
      <c r="H19" s="91"/>
      <c r="I19" s="91" t="s">
        <v>121</v>
      </c>
      <c r="J19" s="91">
        <f>SUM(J4:J18)</f>
        <v>150000</v>
      </c>
      <c r="K19" s="92">
        <f>SUM(K4:K18)</f>
        <v>225530.05598774413</v>
      </c>
    </row>
    <row r="20" spans="2:17" x14ac:dyDescent="0.25">
      <c r="B20" s="119">
        <v>0.25</v>
      </c>
      <c r="C20" s="87">
        <v>31499.794192388857</v>
      </c>
      <c r="D20" s="87">
        <v>227997.53030866629</v>
      </c>
      <c r="E20" s="118">
        <v>377997.53030866629</v>
      </c>
      <c r="G20" s="93"/>
      <c r="H20" s="84"/>
      <c r="I20" s="84" t="s">
        <v>122</v>
      </c>
      <c r="J20" s="84"/>
      <c r="K20" s="94">
        <f>Down_Pymt</f>
        <v>0</v>
      </c>
    </row>
    <row r="21" spans="2:17" ht="15.75" thickBot="1" x14ac:dyDescent="0.3">
      <c r="B21" s="120">
        <v>0.27500000000000002</v>
      </c>
      <c r="C21" s="121">
        <v>31705.85492332128</v>
      </c>
      <c r="D21" s="121">
        <v>230470.25907985534</v>
      </c>
      <c r="E21" s="122">
        <v>380470.25907985534</v>
      </c>
      <c r="G21" s="95"/>
      <c r="H21" s="96"/>
      <c r="I21" s="96" t="s">
        <v>119</v>
      </c>
      <c r="J21" s="96"/>
      <c r="K21" s="97">
        <f>J19+K19+K20</f>
        <v>375530.05598774413</v>
      </c>
      <c r="O21">
        <v>15</v>
      </c>
      <c r="P21" s="37">
        <v>3.5999999999999997E-2</v>
      </c>
      <c r="Q21">
        <f>O21*P21</f>
        <v>0.53999999999999992</v>
      </c>
    </row>
  </sheetData>
  <mergeCells count="3">
    <mergeCell ref="B2:E2"/>
    <mergeCell ref="G2:K2"/>
    <mergeCell ref="B8:E8"/>
  </mergeCells>
  <conditionalFormatting sqref="H4:K18">
    <cfRule type="cellIs" dxfId="37" priority="2" operator="equal">
      <formula>0</formula>
    </cfRule>
  </conditionalFormatting>
  <dataValidations count="3">
    <dataValidation type="list" allowBlank="1" showInputMessage="1" showErrorMessage="1" sqref="C4" xr:uid="{15D8E691-852B-4898-96E8-3CEDF5D1D3DE}">
      <formula1>"Mortgage,VAF,Personal Loan,Bankers Acceptance, Letter of Credit"</formula1>
    </dataValidation>
    <dataValidation type="list" allowBlank="1" showInputMessage="1" showErrorMessage="1" sqref="E3" xr:uid="{CFDE311C-8620-445C-86C7-4AFB014777CA}">
      <formula1>$B$11:$B$21</formula1>
    </dataValidation>
    <dataValidation type="list" allowBlank="1" showInputMessage="1" showErrorMessage="1" sqref="E4" xr:uid="{90A5718E-BD77-4A9B-BAB1-AD90E86AFA84}">
      <formula1>"1,2,3,4,5,6,7,8,9,10,11,12,13,14,15"</formula1>
    </dataValidation>
  </dataValidations>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DCB95A78-1CE7-4AD4-B06B-22AA9E5396DA}">
            <xm:f>NOT(ISERROR(SEARCH($E$3,B10)))</xm:f>
            <xm:f>$E$3</xm:f>
            <x14:dxf>
              <fill>
                <patternFill>
                  <bgColor rgb="FFFF0000"/>
                </patternFill>
              </fill>
            </x14:dxf>
          </x14:cfRule>
          <xm:sqref>B10:B21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 E x p e n c e _ T a b l e 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 E x p e n c e _ T a b l e 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 C o l u m n s \ E x e n d i t u r e < / K e y > < / a : K e y > < a : V a l u e   i : t y p e = " T a b l e W i d g e t B a s e V i e w S t a t e " / > < / a : K e y V a l u e O f D i a g r a m O b j e c t K e y a n y T y p e z b w N T n L X > < a : K e y V a l u e O f D i a g r a m O b j e c t K e y a n y T y p e z b w N T n L X > < a : K e y > < K e y > C o l u m n s \ B - J a n u a r y < / K e y > < / a : K e y > < a : V a l u e   i : t y p e = " T a b l e W i d g e t B a s e V i e w S t a t e " / > < / a : K e y V a l u e O f D i a g r a m O b j e c t K e y a n y T y p e z b w N T n L X > < a : K e y V a l u e O f D i a g r a m O b j e c t K e y a n y T y p e z b w N T n L X > < a : K e y > < K e y > C o l u m n s \ A - J a n u a r y < / K e y > < / a : K e y > < a : V a l u e   i : t y p e = " T a b l e W i d g e t B a s e V i e w S t a t e " / > < / a : K e y V a l u e O f D i a g r a m O b j e c t K e y a n y T y p e z b w N T n L X > < a : K e y V a l u e O f D i a g r a m O b j e c t K e y a n y T y p e z b w N T n L X > < a : K e y > < K e y > C o l u m n s \ B - F e b r u a r y < / K e y > < / a : K e y > < a : V a l u e   i : t y p e = " T a b l e W i d g e t B a s e V i e w S t a t e " / > < / a : K e y V a l u e O f D i a g r a m O b j e c t K e y a n y T y p e z b w N T n L X > < a : K e y V a l u e O f D i a g r a m O b j e c t K e y a n y T y p e z b w N T n L X > < a : K e y > < K e y > C o l u m n s \ A - F e b r u a r y < / K e y > < / a : K e y > < a : V a l u e   i : t y p e = " T a b l e W i d g e t B a s e V i e w S t a t e " / > < / a : K e y V a l u e O f D i a g r a m O b j e c t K e y a n y T y p e z b w N T n L X > < a : K e y V a l u e O f D i a g r a m O b j e c t K e y a n y T y p e z b w N T n L X > < a : K e y > < K e y > C o l u m n s \ B - M a r c h < / K e y > < / a : K e y > < a : V a l u e   i : t y p e = " T a b l e W i d g e t B a s e V i e w S t a t e " / > < / a : K e y V a l u e O f D i a g r a m O b j e c t K e y a n y T y p e z b w N T n L X > < a : K e y V a l u e O f D i a g r a m O b j e c t K e y a n y T y p e z b w N T n L X > < a : K e y > < K e y > C o l u m n s \ A - M a r c h < / K e y > < / a : K e y > < a : V a l u e   i : t y p e = " T a b l e W i d g e t B a s e V i e w S t a t e " / > < / a : K e y V a l u e O f D i a g r a m O b j e c t K e y a n y T y p e z b w N T n L X > < a : K e y V a l u e O f D i a g r a m O b j e c t K e y a n y T y p e z b w N T n L X > < a : K e y > < K e y > C o l u m n s \ B - A p r i l < / K e y > < / a : K e y > < a : V a l u e   i : t y p e = " T a b l e W i d g e t B a s e V i e w S t a t e " / > < / a : K e y V a l u e O f D i a g r a m O b j e c t K e y a n y T y p e z b w N T n L X > < a : K e y V a l u e O f D i a g r a m O b j e c t K e y a n y T y p e z b w N T n L X > < a : K e y > < K e y > C o l u m n s \ A - A p r i l < / K e y > < / a : K e y > < a : V a l u e   i : t y p e = " T a b l e W i d g e t B a s e V i e w S t a t e " / > < / a : K e y V a l u e O f D i a g r a m O b j e c t K e y a n y T y p e z b w N T n L X > < a : K e y V a l u e O f D i a g r a m O b j e c t K e y a n y T y p e z b w N T n L X > < a : K e y > < K e y > C o l u m n s \ B - M a y < / K e y > < / a : K e y > < a : V a l u e   i : t y p e = " T a b l e W i d g e t B a s e V i e w S t a t e " / > < / a : K e y V a l u e O f D i a g r a m O b j e c t K e y a n y T y p e z b w N T n L X > < a : K e y V a l u e O f D i a g r a m O b j e c t K e y a n y T y p e z b w N T n L X > < a : K e y > < K e y > C o l u m n s \ A - M a y < / K e y > < / a : K e y > < a : V a l u e   i : t y p e = " T a b l e W i d g e t B a s e V i e w S t a t e " / > < / a : K e y V a l u e O f D i a g r a m O b j e c t K e y a n y T y p e z b w N T n L X > < a : K e y V a l u e O f D i a g r a m O b j e c t K e y a n y T y p e z b w N T n L X > < a : K e y > < K e y > C o l u m n s \ B - J u n e < / K e y > < / a : K e y > < a : V a l u e   i : t y p e = " T a b l e W i d g e t B a s e V i e w S t a t e " / > < / a : K e y V a l u e O f D i a g r a m O b j e c t K e y a n y T y p e z b w N T n L X > < a : K e y V a l u e O f D i a g r a m O b j e c t K e y a n y T y p e z b w N T n L X > < a : K e y > < K e y > C o l u m n s \ A - J u n e < / K e y > < / a : K e y > < a : V a l u e   i : t y p e = " T a b l e W i d g e t B a s e V i e w S t a t e " / > < / a : K e y V a l u e O f D i a g r a m O b j e c t K e y a n y T y p e z b w N T n L X > < a : K e y V a l u e O f D i a g r a m O b j e c t K e y a n y T y p e z b w N T n L X > < a : K e y > < K e y > C o l u m n s \ B - J u l y < / K e y > < / a : K e y > < a : V a l u e   i : t y p e = " T a b l e W i d g e t B a s e V i e w S t a t e " / > < / a : K e y V a l u e O f D i a g r a m O b j e c t K e y a n y T y p e z b w N T n L X > < a : K e y V a l u e O f D i a g r a m O b j e c t K e y a n y T y p e z b w N T n L X > < a : K e y > < K e y > C o l u m n s \ A - J u l y < / K e y > < / a : K e y > < a : V a l u e   i : t y p e = " T a b l e W i d g e t B a s e V i e w S t a t e " / > < / a : K e y V a l u e O f D i a g r a m O b j e c t K e y a n y T y p e z b w N T n L X > < a : K e y V a l u e O f D i a g r a m O b j e c t K e y a n y T y p e z b w N T n L X > < a : K e y > < K e y > C o l u m n s \ B - A u g u s t < / K e y > < / a : K e y > < a : V a l u e   i : t y p e = " T a b l e W i d g e t B a s e V i e w S t a t e " / > < / a : K e y V a l u e O f D i a g r a m O b j e c t K e y a n y T y p e z b w N T n L X > < a : K e y V a l u e O f D i a g r a m O b j e c t K e y a n y T y p e z b w N T n L X > < a : K e y > < K e y > C o l u m n s \ A - A u g u s t < / K e y > < / a : K e y > < a : V a l u e   i : t y p e = " T a b l e W i d g e t B a s e V i e w S t a t e " / > < / a : K e y V a l u e O f D i a g r a m O b j e c t K e y a n y T y p e z b w N T n L X > < a : K e y V a l u e O f D i a g r a m O b j e c t K e y a n y T y p e z b w N T n L X > < a : K e y > < K e y > C o l u m n s \ B - S e p t e m b e r < / K e y > < / a : K e y > < a : V a l u e   i : t y p e = " T a b l e W i d g e t B a s e V i e w S t a t e " / > < / a : K e y V a l u e O f D i a g r a m O b j e c t K e y a n y T y p e z b w N T n L X > < a : K e y V a l u e O f D i a g r a m O b j e c t K e y a n y T y p e z b w N T n L X > < a : K e y > < K e y > C o l u m n s \ A - S e p t e m b e r < / K e y > < / a : K e y > < a : V a l u e   i : t y p e = " T a b l e W i d g e t B a s e V i e w S t a t e " / > < / a : K e y V a l u e O f D i a g r a m O b j e c t K e y a n y T y p e z b w N T n L X > < a : K e y V a l u e O f D i a g r a m O b j e c t K e y a n y T y p e z b w N T n L X > < a : K e y > < K e y > C o l u m n s \ B - O c t o b e r < / K e y > < / a : K e y > < a : V a l u e   i : t y p e = " T a b l e W i d g e t B a s e V i e w S t a t e " / > < / a : K e y V a l u e O f D i a g r a m O b j e c t K e y a n y T y p e z b w N T n L X > < a : K e y V a l u e O f D i a g r a m O b j e c t K e y a n y T y p e z b w N T n L X > < a : K e y > < K e y > C o l u m n s \ A - O c t o b e r < / K e y > < / a : K e y > < a : V a l u e   i : t y p e = " T a b l e W i d g e t B a s e V i e w S t a t e " / > < / a : K e y V a l u e O f D i a g r a m O b j e c t K e y a n y T y p e z b w N T n L X > < a : K e y V a l u e O f D i a g r a m O b j e c t K e y a n y T y p e z b w N T n L X > < a : K e y > < K e y > C o l u m n s \ B - N o v e m b e r < / K e y > < / a : K e y > < a : V a l u e   i : t y p e = " T a b l e W i d g e t B a s e V i e w S t a t e " / > < / a : K e y V a l u e O f D i a g r a m O b j e c t K e y a n y T y p e z b w N T n L X > < a : K e y V a l u e O f D i a g r a m O b j e c t K e y a n y T y p e z b w N T n L X > < a : K e y > < K e y > C o l u m n s \ A - N o v e m b e r < / K e y > < / a : K e y > < a : V a l u e   i : t y p e = " T a b l e W i d g e t B a s e V i e w S t a t e " / > < / a : K e y V a l u e O f D i a g r a m O b j e c t K e y a n y T y p e z b w N T n L X > < a : K e y V a l u e O f D i a g r a m O b j e c t K e y a n y T y p e z b w N T n L X > < a : K e y > < K e y > C o l u m n s \ B - D e c e m b e r < / K e y > < / a : K e y > < a : V a l u e   i : t y p e = " T a b l e W i d g e t B a s e V i e w S t a t e " / > < / a : K e y V a l u e O f D i a g r a m O b j e c t K e y a n y T y p e z b w N T n L X > < a : K e y V a l u e O f D i a g r a m O b j e c t K e y a n y T y p e z b w N T n L X > < a : K e y > < K e y > C o l u m n s \ A - D e c e m b e r < / K e y > < / a : K e y > < a : V a l u e   i : t y p e = " T a b l e W i d g e t B a s e V i e w S t a t e " / > < / a : K e y V a l u e O f D i a g r a m O b j e c t K e y a n y T y p e z b w N T n L X > < a : K e y V a l u e O f D i a g r a m O b j e c t K e y a n y T y p e z b w N T n L X > < a : K e y > < K e y > C o l u m n s \ B - T o t a l < / K e y > < / a : K e y > < a : V a l u e   i : t y p e = " T a b l e W i d g e t B a s e V i e w S t a t e " / > < / a : K e y V a l u e O f D i a g r a m O b j e c t K e y a n y T y p e z b w N T n L X > < a : K e y V a l u e O f D i a g r a m O b j e c t K e y a n y T y p e z b w N T n L X > < a : K e y > < K e y > C o l u m n s \ A - T o t a l < / 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S a n d b o x N o n E m p t y " > < C u s t o m C o n t e n t > < ! [ C D A T A [ 1 ] ] > < / C u s t o m C o n t e n t > < / G e m i n i > 
</file>

<file path=customXml/item12.xml>��< ? x m l   v e r s i o n = " 1 . 0 "   e n c o d i n g = " U T F - 1 6 " ? > < G e m i n i   x m l n s = " h t t p : / / g e m i n i / p i v o t c u s t o m i z a t i o n / S h o w H i d d e n " > < C u s t o m C o n t e n t > < ! [ C D A T A [ T r u e ] ] > < / C u s t o m C o n t e n t > < / G e m i n i > 
</file>

<file path=customXml/item13.xml>��< ? x m l   v e r s i o n = " 1 . 0 "   e n c o d i n g = " U T F - 1 6 " ? > < G e m i n i   x m l n s = " h t t p : / / g e m i n i / p i v o t c u s t o m i z a t i o n / R e l a t i o n s h i p A u t o D e t e c t i o n E n a b l e d " > < C u s t o m C o n t e n t > < ! [ C D A T A [ T r u e ] ] > < / 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 E x p e n c e _ T a b l e 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 E x p e n c e _ T a b l e 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 B - T o t a l < / K e y > < / D i a g r a m O b j e c t K e y > < D i a g r a m O b j e c t K e y > < K e y > M e a s u r e s \ S u m   o f   B - T o t a l \ T a g I n f o \ F o r m u l a < / K e y > < / D i a g r a m O b j e c t K e y > < D i a g r a m O b j e c t K e y > < K e y > M e a s u r e s \ S u m   o f   B - T o t a l \ T a g I n f o \ V a l u e < / K e y > < / D i a g r a m O b j e c t K e y > < D i a g r a m O b j e c t K e y > < K e y > M e a s u r e s \ S u m   o f   A - T o t a l < / K e y > < / D i a g r a m O b j e c t K e y > < D i a g r a m O b j e c t K e y > < K e y > M e a s u r e s \ S u m   o f   A - T o t a l \ T a g I n f o \ F o r m u l a < / K e y > < / D i a g r a m O b j e c t K e y > < D i a g r a m O b j e c t K e y > < K e y > M e a s u r e s \ S u m   o f   A - T o t a l \ T a g I n f o \ V a l u e < / K e y > < / D i a g r a m O b j e c t K e y > < D i a g r a m O b j e c t K e y > < K e y > C o l u m n s \ E x e n d i t u r e < / K e y > < / D i a g r a m O b j e c t K e y > < D i a g r a m O b j e c t K e y > < K e y > C o l u m n s \ B - J a n u a r y < / K e y > < / D i a g r a m O b j e c t K e y > < D i a g r a m O b j e c t K e y > < K e y > C o l u m n s \ A - J a n u a r y < / K e y > < / D i a g r a m O b j e c t K e y > < D i a g r a m O b j e c t K e y > < K e y > C o l u m n s \ B - F e b r u a r y < / K e y > < / D i a g r a m O b j e c t K e y > < D i a g r a m O b j e c t K e y > < K e y > C o l u m n s \ A - F e b r u a r y < / K e y > < / D i a g r a m O b j e c t K e y > < D i a g r a m O b j e c t K e y > < K e y > C o l u m n s \ B - M a r c h < / K e y > < / D i a g r a m O b j e c t K e y > < D i a g r a m O b j e c t K e y > < K e y > C o l u m n s \ A - M a r c h < / K e y > < / D i a g r a m O b j e c t K e y > < D i a g r a m O b j e c t K e y > < K e y > C o l u m n s \ B - A p r i l < / K e y > < / D i a g r a m O b j e c t K e y > < D i a g r a m O b j e c t K e y > < K e y > C o l u m n s \ A - A p r i l < / K e y > < / D i a g r a m O b j e c t K e y > < D i a g r a m O b j e c t K e y > < K e y > C o l u m n s \ B - M a y < / K e y > < / D i a g r a m O b j e c t K e y > < D i a g r a m O b j e c t K e y > < K e y > C o l u m n s \ A - M a y < / K e y > < / D i a g r a m O b j e c t K e y > < D i a g r a m O b j e c t K e y > < K e y > C o l u m n s \ B - J u n e < / K e y > < / D i a g r a m O b j e c t K e y > < D i a g r a m O b j e c t K e y > < K e y > C o l u m n s \ A - J u n e < / K e y > < / D i a g r a m O b j e c t K e y > < D i a g r a m O b j e c t K e y > < K e y > C o l u m n s \ B - J u l y < / K e y > < / D i a g r a m O b j e c t K e y > < D i a g r a m O b j e c t K e y > < K e y > C o l u m n s \ A - J u l y < / K e y > < / D i a g r a m O b j e c t K e y > < D i a g r a m O b j e c t K e y > < K e y > C o l u m n s \ B - A u g u s t < / K e y > < / D i a g r a m O b j e c t K e y > < D i a g r a m O b j e c t K e y > < K e y > C o l u m n s \ A - A u g u s t < / K e y > < / D i a g r a m O b j e c t K e y > < D i a g r a m O b j e c t K e y > < K e y > C o l u m n s \ B - S e p t e m b e r < / K e y > < / D i a g r a m O b j e c t K e y > < D i a g r a m O b j e c t K e y > < K e y > C o l u m n s \ A - S e p t e m b e r < / K e y > < / D i a g r a m O b j e c t K e y > < D i a g r a m O b j e c t K e y > < K e y > C o l u m n s \ B - O c t o b e r < / K e y > < / D i a g r a m O b j e c t K e y > < D i a g r a m O b j e c t K e y > < K e y > C o l u m n s \ A - O c t o b e r < / K e y > < / D i a g r a m O b j e c t K e y > < D i a g r a m O b j e c t K e y > < K e y > C o l u m n s \ B - N o v e m b e r < / K e y > < / D i a g r a m O b j e c t K e y > < D i a g r a m O b j e c t K e y > < K e y > C o l u m n s \ A - N o v e m b e r < / K e y > < / D i a g r a m O b j e c t K e y > < D i a g r a m O b j e c t K e y > < K e y > C o l u m n s \ B - D e c e m b e r < / K e y > < / D i a g r a m O b j e c t K e y > < D i a g r a m O b j e c t K e y > < K e y > C o l u m n s \ A - D e c e m b e r < / K e y > < / D i a g r a m O b j e c t K e y > < D i a g r a m O b j e c t K e y > < K e y > C o l u m n s \ B - T o t a l < / K e y > < / D i a g r a m O b j e c t K e y > < D i a g r a m O b j e c t K e y > < K e y > C o l u m n s \ A - T o t a l < / K e y > < / D i a g r a m O b j e c t K e y > < D i a g r a m O b j e c t K e y > < K e y > L i n k s \ & l t ; C o l u m n s \ S u m   o f   B - T o t a l & g t ; - & l t ; M e a s u r e s \ B - T o t a l & g t ; < / K e y > < / D i a g r a m O b j e c t K e y > < D i a g r a m O b j e c t K e y > < K e y > L i n k s \ & l t ; C o l u m n s \ S u m   o f   B - T o t a l & g t ; - & l t ; M e a s u r e s \ B - T o t a l & g t ; \ C O L U M N < / K e y > < / D i a g r a m O b j e c t K e y > < D i a g r a m O b j e c t K e y > < K e y > L i n k s \ & l t ; C o l u m n s \ S u m   o f   B - T o t a l & g t ; - & l t ; M e a s u r e s \ B - T o t a l & g t ; \ M E A S U R E < / K e y > < / D i a g r a m O b j e c t K e y > < D i a g r a m O b j e c t K e y > < K e y > L i n k s \ & l t ; C o l u m n s \ S u m   o f   A - T o t a l & g t ; - & l t ; M e a s u r e s \ A - T o t a l & g t ; < / K e y > < / D i a g r a m O b j e c t K e y > < D i a g r a m O b j e c t K e y > < K e y > L i n k s \ & l t ; C o l u m n s \ S u m   o f   A - T o t a l & g t ; - & l t ; M e a s u r e s \ A - T o t a l & g t ; \ C O L U M N < / K e y > < / D i a g r a m O b j e c t K e y > < D i a g r a m O b j e c t K e y > < K e y > L i n k s \ & l t ; C o l u m n s \ S u m   o f   A - T o t a l & g t ; - & l t ; M e a s u r e s \ A - T o t a l & g t ; \ M E A S U R E 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 B - T o t a l < / K e y > < / a : K e y > < a : V a l u e   i : t y p e = " M e a s u r e G r i d N o d e V i e w S t a t e " > < C o l u m n > 2 5 < / C o l u m n > < L a y e d O u t > t r u e < / L a y e d O u t > < W a s U I I n v i s i b l e > t r u e < / W a s U I I n v i s i b l e > < / a : V a l u e > < / a : K e y V a l u e O f D i a g r a m O b j e c t K e y a n y T y p e z b w N T n L X > < a : K e y V a l u e O f D i a g r a m O b j e c t K e y a n y T y p e z b w N T n L X > < a : K e y > < K e y > M e a s u r e s \ S u m   o f   B - T o t a l \ T a g I n f o \ F o r m u l a < / K e y > < / a : K e y > < a : V a l u e   i : t y p e = " M e a s u r e G r i d V i e w S t a t e I D i a g r a m T a g A d d i t i o n a l I n f o " / > < / a : K e y V a l u e O f D i a g r a m O b j e c t K e y a n y T y p e z b w N T n L X > < a : K e y V a l u e O f D i a g r a m O b j e c t K e y a n y T y p e z b w N T n L X > < a : K e y > < K e y > M e a s u r e s \ S u m   o f   B - T o t a l \ T a g I n f o \ V a l u e < / K e y > < / a : K e y > < a : V a l u e   i : t y p e = " M e a s u r e G r i d V i e w S t a t e I D i a g r a m T a g A d d i t i o n a l I n f o " / > < / a : K e y V a l u e O f D i a g r a m O b j e c t K e y a n y T y p e z b w N T n L X > < a : K e y V a l u e O f D i a g r a m O b j e c t K e y a n y T y p e z b w N T n L X > < a : K e y > < K e y > M e a s u r e s \ S u m   o f   A - T o t a l < / K e y > < / a : K e y > < a : V a l u e   i : t y p e = " M e a s u r e G r i d N o d e V i e w S t a t e " > < C o l u m n > 2 6 < / C o l u m n > < L a y e d O u t > t r u e < / L a y e d O u t > < W a s U I I n v i s i b l e > t r u e < / W a s U I I n v i s i b l e > < / a : V a l u e > < / a : K e y V a l u e O f D i a g r a m O b j e c t K e y a n y T y p e z b w N T n L X > < a : K e y V a l u e O f D i a g r a m O b j e c t K e y a n y T y p e z b w N T n L X > < a : K e y > < K e y > M e a s u r e s \ S u m   o f   A - T o t a l \ T a g I n f o \ F o r m u l a < / K e y > < / a : K e y > < a : V a l u e   i : t y p e = " M e a s u r e G r i d V i e w S t a t e I D i a g r a m T a g A d d i t i o n a l I n f o " / > < / a : K e y V a l u e O f D i a g r a m O b j e c t K e y a n y T y p e z b w N T n L X > < a : K e y V a l u e O f D i a g r a m O b j e c t K e y a n y T y p e z b w N T n L X > < a : K e y > < K e y > M e a s u r e s \ S u m   o f   A - T o t a l \ T a g I n f o \ V a l u e < / K e y > < / a : K e y > < a : V a l u e   i : t y p e = " M e a s u r e G r i d V i e w S t a t e I D i a g r a m T a g A d d i t i o n a l I n f o " / > < / a : K e y V a l u e O f D i a g r a m O b j e c t K e y a n y T y p e z b w N T n L X > < a : K e y V a l u e O f D i a g r a m O b j e c t K e y a n y T y p e z b w N T n L X > < a : K e y > < K e y > C o l u m n s \ E x e n d i t u r e < / K e y > < / a : K e y > < a : V a l u e   i : t y p e = " M e a s u r e G r i d N o d e V i e w S t a t e " > < L a y e d O u t > t r u e < / L a y e d O u t > < / a : V a l u e > < / a : K e y V a l u e O f D i a g r a m O b j e c t K e y a n y T y p e z b w N T n L X > < a : K e y V a l u e O f D i a g r a m O b j e c t K e y a n y T y p e z b w N T n L X > < a : K e y > < K e y > C o l u m n s \ B - J a n u a r y < / K e y > < / a : K e y > < a : V a l u e   i : t y p e = " M e a s u r e G r i d N o d e V i e w S t a t e " > < C o l u m n > 1 < / C o l u m n > < L a y e d O u t > t r u e < / L a y e d O u t > < / a : V a l u e > < / a : K e y V a l u e O f D i a g r a m O b j e c t K e y a n y T y p e z b w N T n L X > < a : K e y V a l u e O f D i a g r a m O b j e c t K e y a n y T y p e z b w N T n L X > < a : K e y > < K e y > C o l u m n s \ A - J a n u a r y < / K e y > < / a : K e y > < a : V a l u e   i : t y p e = " M e a s u r e G r i d N o d e V i e w S t a t e " > < C o l u m n > 2 < / C o l u m n > < L a y e d O u t > t r u e < / L a y e d O u t > < / a : V a l u e > < / a : K e y V a l u e O f D i a g r a m O b j e c t K e y a n y T y p e z b w N T n L X > < a : K e y V a l u e O f D i a g r a m O b j e c t K e y a n y T y p e z b w N T n L X > < a : K e y > < K e y > C o l u m n s \ B - F e b r u a r y < / K e y > < / a : K e y > < a : V a l u e   i : t y p e = " M e a s u r e G r i d N o d e V i e w S t a t e " > < C o l u m n > 3 < / C o l u m n > < L a y e d O u t > t r u e < / L a y e d O u t > < / a : V a l u e > < / a : K e y V a l u e O f D i a g r a m O b j e c t K e y a n y T y p e z b w N T n L X > < a : K e y V a l u e O f D i a g r a m O b j e c t K e y a n y T y p e z b w N T n L X > < a : K e y > < K e y > C o l u m n s \ A - F e b r u a r y < / K e y > < / a : K e y > < a : V a l u e   i : t y p e = " M e a s u r e G r i d N o d e V i e w S t a t e " > < C o l u m n > 4 < / C o l u m n > < L a y e d O u t > t r u e < / L a y e d O u t > < / a : V a l u e > < / a : K e y V a l u e O f D i a g r a m O b j e c t K e y a n y T y p e z b w N T n L X > < a : K e y V a l u e O f D i a g r a m O b j e c t K e y a n y T y p e z b w N T n L X > < a : K e y > < K e y > C o l u m n s \ B - M a r c h < / K e y > < / a : K e y > < a : V a l u e   i : t y p e = " M e a s u r e G r i d N o d e V i e w S t a t e " > < C o l u m n > 5 < / C o l u m n > < L a y e d O u t > t r u e < / L a y e d O u t > < / a : V a l u e > < / a : K e y V a l u e O f D i a g r a m O b j e c t K e y a n y T y p e z b w N T n L X > < a : K e y V a l u e O f D i a g r a m O b j e c t K e y a n y T y p e z b w N T n L X > < a : K e y > < K e y > C o l u m n s \ A - M a r c h < / K e y > < / a : K e y > < a : V a l u e   i : t y p e = " M e a s u r e G r i d N o d e V i e w S t a t e " > < C o l u m n > 6 < / C o l u m n > < L a y e d O u t > t r u e < / L a y e d O u t > < / a : V a l u e > < / a : K e y V a l u e O f D i a g r a m O b j e c t K e y a n y T y p e z b w N T n L X > < a : K e y V a l u e O f D i a g r a m O b j e c t K e y a n y T y p e z b w N T n L X > < a : K e y > < K e y > C o l u m n s \ B - A p r i l < / K e y > < / a : K e y > < a : V a l u e   i : t y p e = " M e a s u r e G r i d N o d e V i e w S t a t e " > < C o l u m n > 7 < / C o l u m n > < L a y e d O u t > t r u e < / L a y e d O u t > < / a : V a l u e > < / a : K e y V a l u e O f D i a g r a m O b j e c t K e y a n y T y p e z b w N T n L X > < a : K e y V a l u e O f D i a g r a m O b j e c t K e y a n y T y p e z b w N T n L X > < a : K e y > < K e y > C o l u m n s \ A - A p r i l < / K e y > < / a : K e y > < a : V a l u e   i : t y p e = " M e a s u r e G r i d N o d e V i e w S t a t e " > < C o l u m n > 8 < / C o l u m n > < L a y e d O u t > t r u e < / L a y e d O u t > < / a : V a l u e > < / a : K e y V a l u e O f D i a g r a m O b j e c t K e y a n y T y p e z b w N T n L X > < a : K e y V a l u e O f D i a g r a m O b j e c t K e y a n y T y p e z b w N T n L X > < a : K e y > < K e y > C o l u m n s \ B - M a y < / K e y > < / a : K e y > < a : V a l u e   i : t y p e = " M e a s u r e G r i d N o d e V i e w S t a t e " > < C o l u m n > 9 < / C o l u m n > < L a y e d O u t > t r u e < / L a y e d O u t > < / a : V a l u e > < / a : K e y V a l u e O f D i a g r a m O b j e c t K e y a n y T y p e z b w N T n L X > < a : K e y V a l u e O f D i a g r a m O b j e c t K e y a n y T y p e z b w N T n L X > < a : K e y > < K e y > C o l u m n s \ A - M a y < / K e y > < / a : K e y > < a : V a l u e   i : t y p e = " M e a s u r e G r i d N o d e V i e w S t a t e " > < C o l u m n > 1 0 < / C o l u m n > < L a y e d O u t > t r u e < / L a y e d O u t > < / a : V a l u e > < / a : K e y V a l u e O f D i a g r a m O b j e c t K e y a n y T y p e z b w N T n L X > < a : K e y V a l u e O f D i a g r a m O b j e c t K e y a n y T y p e z b w N T n L X > < a : K e y > < K e y > C o l u m n s \ B - J u n e < / K e y > < / a : K e y > < a : V a l u e   i : t y p e = " M e a s u r e G r i d N o d e V i e w S t a t e " > < C o l u m n > 1 1 < / C o l u m n > < L a y e d O u t > t r u e < / L a y e d O u t > < / a : V a l u e > < / a : K e y V a l u e O f D i a g r a m O b j e c t K e y a n y T y p e z b w N T n L X > < a : K e y V a l u e O f D i a g r a m O b j e c t K e y a n y T y p e z b w N T n L X > < a : K e y > < K e y > C o l u m n s \ A - J u n e < / K e y > < / a : K e y > < a : V a l u e   i : t y p e = " M e a s u r e G r i d N o d e V i e w S t a t e " > < C o l u m n > 1 2 < / C o l u m n > < L a y e d O u t > t r u e < / L a y e d O u t > < / a : V a l u e > < / a : K e y V a l u e O f D i a g r a m O b j e c t K e y a n y T y p e z b w N T n L X > < a : K e y V a l u e O f D i a g r a m O b j e c t K e y a n y T y p e z b w N T n L X > < a : K e y > < K e y > C o l u m n s \ B - J u l y < / K e y > < / a : K e y > < a : V a l u e   i : t y p e = " M e a s u r e G r i d N o d e V i e w S t a t e " > < C o l u m n > 1 3 < / C o l u m n > < L a y e d O u t > t r u e < / L a y e d O u t > < / a : V a l u e > < / a : K e y V a l u e O f D i a g r a m O b j e c t K e y a n y T y p e z b w N T n L X > < a : K e y V a l u e O f D i a g r a m O b j e c t K e y a n y T y p e z b w N T n L X > < a : K e y > < K e y > C o l u m n s \ A - J u l y < / K e y > < / a : K e y > < a : V a l u e   i : t y p e = " M e a s u r e G r i d N o d e V i e w S t a t e " > < C o l u m n > 1 4 < / C o l u m n > < L a y e d O u t > t r u e < / L a y e d O u t > < / a : V a l u e > < / a : K e y V a l u e O f D i a g r a m O b j e c t K e y a n y T y p e z b w N T n L X > < a : K e y V a l u e O f D i a g r a m O b j e c t K e y a n y T y p e z b w N T n L X > < a : K e y > < K e y > C o l u m n s \ B - A u g u s t < / K e y > < / a : K e y > < a : V a l u e   i : t y p e = " M e a s u r e G r i d N o d e V i e w S t a t e " > < C o l u m n > 1 5 < / C o l u m n > < L a y e d O u t > t r u e < / L a y e d O u t > < / a : V a l u e > < / a : K e y V a l u e O f D i a g r a m O b j e c t K e y a n y T y p e z b w N T n L X > < a : K e y V a l u e O f D i a g r a m O b j e c t K e y a n y T y p e z b w N T n L X > < a : K e y > < K e y > C o l u m n s \ A - A u g u s t < / K e y > < / a : K e y > < a : V a l u e   i : t y p e = " M e a s u r e G r i d N o d e V i e w S t a t e " > < C o l u m n > 1 6 < / C o l u m n > < L a y e d O u t > t r u e < / L a y e d O u t > < / a : V a l u e > < / a : K e y V a l u e O f D i a g r a m O b j e c t K e y a n y T y p e z b w N T n L X > < a : K e y V a l u e O f D i a g r a m O b j e c t K e y a n y T y p e z b w N T n L X > < a : K e y > < K e y > C o l u m n s \ B - S e p t e m b e r < / K e y > < / a : K e y > < a : V a l u e   i : t y p e = " M e a s u r e G r i d N o d e V i e w S t a t e " > < C o l u m n > 1 7 < / C o l u m n > < L a y e d O u t > t r u e < / L a y e d O u t > < / a : V a l u e > < / a : K e y V a l u e O f D i a g r a m O b j e c t K e y a n y T y p e z b w N T n L X > < a : K e y V a l u e O f D i a g r a m O b j e c t K e y a n y T y p e z b w N T n L X > < a : K e y > < K e y > C o l u m n s \ A - S e p t e m b e r < / K e y > < / a : K e y > < a : V a l u e   i : t y p e = " M e a s u r e G r i d N o d e V i e w S t a t e " > < C o l u m n > 1 8 < / C o l u m n > < L a y e d O u t > t r u e < / L a y e d O u t > < / a : V a l u e > < / a : K e y V a l u e O f D i a g r a m O b j e c t K e y a n y T y p e z b w N T n L X > < a : K e y V a l u e O f D i a g r a m O b j e c t K e y a n y T y p e z b w N T n L X > < a : K e y > < K e y > C o l u m n s \ B - O c t o b e r < / K e y > < / a : K e y > < a : V a l u e   i : t y p e = " M e a s u r e G r i d N o d e V i e w S t a t e " > < C o l u m n > 1 9 < / C o l u m n > < L a y e d O u t > t r u e < / L a y e d O u t > < / a : V a l u e > < / a : K e y V a l u e O f D i a g r a m O b j e c t K e y a n y T y p e z b w N T n L X > < a : K e y V a l u e O f D i a g r a m O b j e c t K e y a n y T y p e z b w N T n L X > < a : K e y > < K e y > C o l u m n s \ A - O c t o b e r < / K e y > < / a : K e y > < a : V a l u e   i : t y p e = " M e a s u r e G r i d N o d e V i e w S t a t e " > < C o l u m n > 2 0 < / C o l u m n > < L a y e d O u t > t r u e < / L a y e d O u t > < / a : V a l u e > < / a : K e y V a l u e O f D i a g r a m O b j e c t K e y a n y T y p e z b w N T n L X > < a : K e y V a l u e O f D i a g r a m O b j e c t K e y a n y T y p e z b w N T n L X > < a : K e y > < K e y > C o l u m n s \ B - N o v e m b e r < / K e y > < / a : K e y > < a : V a l u e   i : t y p e = " M e a s u r e G r i d N o d e V i e w S t a t e " > < C o l u m n > 2 1 < / C o l u m n > < L a y e d O u t > t r u e < / L a y e d O u t > < / a : V a l u e > < / a : K e y V a l u e O f D i a g r a m O b j e c t K e y a n y T y p e z b w N T n L X > < a : K e y V a l u e O f D i a g r a m O b j e c t K e y a n y T y p e z b w N T n L X > < a : K e y > < K e y > C o l u m n s \ A - N o v e m b e r < / K e y > < / a : K e y > < a : V a l u e   i : t y p e = " M e a s u r e G r i d N o d e V i e w S t a t e " > < C o l u m n > 2 2 < / C o l u m n > < L a y e d O u t > t r u e < / L a y e d O u t > < / a : V a l u e > < / a : K e y V a l u e O f D i a g r a m O b j e c t K e y a n y T y p e z b w N T n L X > < a : K e y V a l u e O f D i a g r a m O b j e c t K e y a n y T y p e z b w N T n L X > < a : K e y > < K e y > C o l u m n s \ B - D e c e m b e r < / K e y > < / a : K e y > < a : V a l u e   i : t y p e = " M e a s u r e G r i d N o d e V i e w S t a t e " > < C o l u m n > 2 3 < / C o l u m n > < L a y e d O u t > t r u e < / L a y e d O u t > < / a : V a l u e > < / a : K e y V a l u e O f D i a g r a m O b j e c t K e y a n y T y p e z b w N T n L X > < a : K e y V a l u e O f D i a g r a m O b j e c t K e y a n y T y p e z b w N T n L X > < a : K e y > < K e y > C o l u m n s \ A - D e c e m b e r < / K e y > < / a : K e y > < a : V a l u e   i : t y p e = " M e a s u r e G r i d N o d e V i e w S t a t e " > < C o l u m n > 2 4 < / C o l u m n > < L a y e d O u t > t r u e < / L a y e d O u t > < / a : V a l u e > < / a : K e y V a l u e O f D i a g r a m O b j e c t K e y a n y T y p e z b w N T n L X > < a : K e y V a l u e O f D i a g r a m O b j e c t K e y a n y T y p e z b w N T n L X > < a : K e y > < K e y > C o l u m n s \ B - T o t a l < / K e y > < / a : K e y > < a : V a l u e   i : t y p e = " M e a s u r e G r i d N o d e V i e w S t a t e " > < C o l u m n > 2 5 < / C o l u m n > < L a y e d O u t > t r u e < / L a y e d O u t > < / a : V a l u e > < / a : K e y V a l u e O f D i a g r a m O b j e c t K e y a n y T y p e z b w N T n L X > < a : K e y V a l u e O f D i a g r a m O b j e c t K e y a n y T y p e z b w N T n L X > < a : K e y > < K e y > C o l u m n s \ A - T o t a l < / K e y > < / a : K e y > < a : V a l u e   i : t y p e = " M e a s u r e G r i d N o d e V i e w S t a t e " > < C o l u m n > 2 6 < / C o l u m n > < L a y e d O u t > t r u e < / L a y e d O u t > < / a : V a l u e > < / a : K e y V a l u e O f D i a g r a m O b j e c t K e y a n y T y p e z b w N T n L X > < a : K e y V a l u e O f D i a g r a m O b j e c t K e y a n y T y p e z b w N T n L X > < a : K e y > < K e y > L i n k s \ & l t ; C o l u m n s \ S u m   o f   B - T o t a l & g t ; - & l t ; M e a s u r e s \ B - T o t a l & g t ; < / K e y > < / a : K e y > < a : V a l u e   i : t y p e = " M e a s u r e G r i d V i e w S t a t e I D i a g r a m L i n k " / > < / a : K e y V a l u e O f D i a g r a m O b j e c t K e y a n y T y p e z b w N T n L X > < a : K e y V a l u e O f D i a g r a m O b j e c t K e y a n y T y p e z b w N T n L X > < a : K e y > < K e y > L i n k s \ & l t ; C o l u m n s \ S u m   o f   B - T o t a l & g t ; - & l t ; M e a s u r e s \ B - T o t a l & g t ; \ C O L U M N < / K e y > < / a : K e y > < a : V a l u e   i : t y p e = " M e a s u r e G r i d V i e w S t a t e I D i a g r a m L i n k E n d p o i n t " / > < / a : K e y V a l u e O f D i a g r a m O b j e c t K e y a n y T y p e z b w N T n L X > < a : K e y V a l u e O f D i a g r a m O b j e c t K e y a n y T y p e z b w N T n L X > < a : K e y > < K e y > L i n k s \ & l t ; C o l u m n s \ S u m   o f   B - T o t a l & g t ; - & l t ; M e a s u r e s \ B - T o t a l & g t ; \ M E A S U R E < / K e y > < / a : K e y > < a : V a l u e   i : t y p e = " M e a s u r e G r i d V i e w S t a t e I D i a g r a m L i n k E n d p o i n t " / > < / a : K e y V a l u e O f D i a g r a m O b j e c t K e y a n y T y p e z b w N T n L X > < a : K e y V a l u e O f D i a g r a m O b j e c t K e y a n y T y p e z b w N T n L X > < a : K e y > < K e y > L i n k s \ & l t ; C o l u m n s \ S u m   o f   A - T o t a l & g t ; - & l t ; M e a s u r e s \ A - T o t a l & g t ; < / K e y > < / a : K e y > < a : V a l u e   i : t y p e = " M e a s u r e G r i d V i e w S t a t e I D i a g r a m L i n k " / > < / a : K e y V a l u e O f D i a g r a m O b j e c t K e y a n y T y p e z b w N T n L X > < a : K e y V a l u e O f D i a g r a m O b j e c t K e y a n y T y p e z b w N T n L X > < a : K e y > < K e y > L i n k s \ & l t ; C o l u m n s \ S u m   o f   A - T o t a l & g t ; - & l t ; M e a s u r e s \ A - T o t a l & g t ; \ C O L U M N < / K e y > < / a : K e y > < a : V a l u e   i : t y p e = " M e a s u r e G r i d V i e w S t a t e I D i a g r a m L i n k E n d p o i n t " / > < / a : K e y V a l u e O f D i a g r a m O b j e c t K e y a n y T y p e z b w N T n L X > < a : K e y V a l u e O f D i a g r a m O b j e c t K e y a n y T y p e z b w N T n L X > < a : K e y > < K e y > L i n k s \ & l t ; C o l u m n s \ S u m   o f   A - T o t a l & g t ; - & l t ; M e a s u r e s \ A - T o t a l & g t ; \ M E A S U R E 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a 1 c 4 2 c 0 7 - a 1 5 d - 4 3 3 9 - 8 8 4 3 - 8 4 9 b 3 6 5 6 e 3 b f " > < C u s t o m C o n t e n t > < ! [ C D A T A [ < ? x m l   v e r s i o n = " 1 . 0 "   e n c o d i n g = " u t f - 1 6 " ? > < S e t t i n g s > < C a l c u l a t e d F i e l d s > < i t e m > < M e a s u r e N a m e > a m o u n t _ d i f f e r e n c e s < / M e a s u r e N a m e > < D i s p l a y N a m e > a m o u n t _ d i f f e r e n c e s < / D i s p l a y N a m e > < V i s i b l e > T r u e < / V i s i b l e > < / i t e m > < / C a l c u l a t e d F i e l d s > < S A H o s t H a s h > 0 < / S A H o s t H a s h > < G e m i n i F i e l d L i s t V i s i b l e > T r u e < / G e m i n i F i e l d L i s t V i s i b l e > < / S e t t i n g s > ] ] > < / C u s t o m C o n t e n t > < / G e m i n i > 
</file>

<file path=customXml/item16.xml>��< ? x m l   v e r s i o n = " 1 . 0 "   e n c o d i n g = " U T F - 1 6 " ? > < G e m i n i   x m l n s = " h t t p : / / g e m i n i / p i v o t c u s t o m i z a t i o n / P o w e r P i v o t V e r s i o n " > < C u s t o m C o n t e n t > < ! [ C D A T A [ 2 0 1 5 . 1 3 0 . 1 6 0 5 . 1 5 6 7 ] ] > < / C u s t o m C o n t e n t > < / G e m i n i > 
</file>

<file path=customXml/item17.xml>��< ? x m l   v e r s i o n = " 1 . 0 "   e n c o d i n g = " U T F - 1 6 " ? > < G e m i n i   x m l n s = " h t t p : / / g e m i n i / p i v o t c u s t o m i z a t i o n / M a n u a l C a l c M o d e " > < C u s t o m C o n t e n t > < ! [ C D A T A [ F a l s e ] ] > < / C u s t o m C o n t e n t > < / G e m i n i > 
</file>

<file path=customXml/item2.xml>��< ? x m l   v e r s i o n = " 1 . 0 "   e n c o d i n g = " U T F - 1 6 " ? > < G e m i n i   x m l n s = " h t t p : / / g e m i n i / p i v o t c u s t o m i z a t i o n / T a b l e O r d e r " > < C u s t o m C o n t e n t > < ! [ C D A T A [ E x p e n c e _ T a b l e ] ] > < / C u s t o m C o n t e n t > < / G e m i n i > 
</file>

<file path=customXml/item3.xml>��< ? x m l   v e r s i o n = " 1 . 0 "   e n c o d i n g = " U T F - 1 6 " ? > < G e m i n i   x m l n s = " h t t p : / / g e m i n i / p i v o t c u s t o m i z a t i o n / C l i e n t W i n d o w X M L " > < C u s t o m C o n t e n t > < ! [ C D A T A [ E x p e n c e _ T a b l e ] ] > < / 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5.xml>��< ? x m l   v e r s i o n = " 1 . 0 "   e n c o d i n g = " U T F - 1 6 " ? > < G e m i n i   x m l n s = " h t t p : / / g e m i n i / p i v o t c u s t o m i z a t i o n / T a b l e X M L _ E x p e n c e _ T a b l e " > < C u s t o m C o n t e n t > < ! [ C D A T A [ < T a b l e W i d g e t G r i d S e r i a l i z a t i o n   x m l n s : x s i = " h t t p : / / w w w . w 3 . o r g / 2 0 0 1 / X M L S c h e m a - i n s t a n c e "   x m l n s : x s d = " h t t p : / / w w w . w 3 . o r g / 2 0 0 1 / X M L S c h e m a " > < C o l u m n S u g g e s t e d T y p e   / > < C o l u m n F o r m a t   / > < C o l u m n A c c u r a c y   / > < C o l u m n C u r r e n c y S y m b o l   / > < C o l u m n P o s i t i v e P a t t e r n   / > < C o l u m n N e g a t i v e P a t t e r n   / > < C o l u m n W i d t h s > < i t e m > < k e y > < s t r i n g > E x e n d i t u r e < / s t r i n g > < / k e y > < v a l u e > < i n t > 1 0 4 < / i n t > < / v a l u e > < / i t e m > < i t e m > < k e y > < s t r i n g > B - J a n u a r y < / s t r i n g > < / k e y > < v a l u e > < i n t > 1 0 2 < / i n t > < / v a l u e > < / i t e m > < i t e m > < k e y > < s t r i n g > A - J a n u a r y < / s t r i n g > < / k e y > < v a l u e > < i n t > 1 0 1 < / i n t > < / v a l u e > < / i t e m > < i t e m > < k e y > < s t r i n g > B - F e b r u a r y < / s t r i n g > < / k e y > < v a l u e > < i n t > 1 0 8 < / i n t > < / v a l u e > < / i t e m > < i t e m > < k e y > < s t r i n g > A - F e b r u a r y < / s t r i n g > < / k e y > < v a l u e > < i n t > 1 0 7 < / i n t > < / v a l u e > < / i t e m > < i t e m > < k e y > < s t r i n g > B - M a r c h < / s t r i n g > < / k e y > < v a l u e > < i n t > 9 2 < / i n t > < / v a l u e > < / i t e m > < i t e m > < k e y > < s t r i n g > A - M a r c h < / s t r i n g > < / k e y > < v a l u e > < i n t > 9 1 < / i n t > < / v a l u e > < / i t e m > < i t e m > < k e y > < s t r i n g > B - A p r i l < / s t r i n g > < / k e y > < v a l u e > < i n t > 7 8 < / i n t > < / v a l u e > < / i t e m > < i t e m > < k e y > < s t r i n g > A - A p r i l < / s t r i n g > < / k e y > < v a l u e > < i n t > 7 7 < / i n t > < / v a l u e > < / i t e m > < i t e m > < k e y > < s t r i n g > B - M a y < / s t r i n g > < / k e y > < v a l u e > < i n t > 7 8 < / i n t > < / v a l u e > < / i t e m > < i t e m > < k e y > < s t r i n g > A - M a y < / s t r i n g > < / k e y > < v a l u e > < i n t > 7 7 < / i n t > < / v a l u e > < / i t e m > < i t e m > < k e y > < s t r i n g > B - J u n e < / s t r i n g > < / k e y > < v a l u e > < i n t > 8 2 < / i n t > < / v a l u e > < / i t e m > < i t e m > < k e y > < s t r i n g > A - J u n e < / s t r i n g > < / k e y > < v a l u e > < i n t > 8 1 < / i n t > < / v a l u e > < / i t e m > < i t e m > < k e y > < s t r i n g > B - J u l y < / s t r i n g > < / k e y > < v a l u e > < i n t > 7 6 < / i n t > < / v a l u e > < / i t e m > < i t e m > < k e y > < s t r i n g > A - J u l y < / s t r i n g > < / k e y > < v a l u e > < i n t > 7 5 < / i n t > < / v a l u e > < / i t e m > < i t e m > < k e y > < s t r i n g > B - A u g u s t < / s t r i n g > < / k e y > < v a l u e > < i n t > 9 5 < / i n t > < / v a l u e > < / i t e m > < i t e m > < k e y > < s t r i n g > A - A u g u s t < / s t r i n g > < / k e y > < v a l u e > < i n t > 9 4 < / i n t > < / v a l u e > < / i t e m > < i t e m > < k e y > < s t r i n g > B - S e p t e m b e r < / s t r i n g > < / k e y > < v a l u e > < i n t > 1 2 2 < / i n t > < / v a l u e > < / i t e m > < i t e m > < k e y > < s t r i n g > A - S e p t e m b e r < / s t r i n g > < / k e y > < v a l u e > < i n t > 1 2 1 < / i n t > < / v a l u e > < / i t e m > < i t e m > < k e y > < s t r i n g > B - O c t o b e r < / s t r i n g > < / k e y > < v a l u e > < i n t > 1 0 4 < / i n t > < / v a l u e > < / i t e m > < i t e m > < k e y > < s t r i n g > A - O c t o b e r < / s t r i n g > < / k e y > < v a l u e > < i n t > 1 0 3 < / i n t > < / v a l u e > < / i t e m > < i t e m > < k e y > < s t r i n g > B - N o v e m b e r < / s t r i n g > < / k e y > < v a l u e > < i n t > 1 1 9 < / i n t > < / v a l u e > < / i t e m > < i t e m > < k e y > < s t r i n g > A - N o v e m b e r < / s t r i n g > < / k e y > < v a l u e > < i n t > 1 1 8 < / i n t > < / v a l u e > < / i t e m > < i t e m > < k e y > < s t r i n g > B - D e c e m b e r < / s t r i n g > < / k e y > < v a l u e > < i n t > 1 1 9 < / i n t > < / v a l u e > < / i t e m > < i t e m > < k e y > < s t r i n g > A - D e c e m b e r < / s t r i n g > < / k e y > < v a l u e > < i n t > 1 1 8 < / i n t > < / v a l u e > < / i t e m > < i t e m > < k e y > < s t r i n g > B - T o t a l < / s t r i n g > < / k e y > < v a l u e > < i n t > 8 3 < / i n t > < / v a l u e > < / i t e m > < i t e m > < k e y > < s t r i n g > A - T o t a l < / s t r i n g > < / k e y > < v a l u e > < i n t > 8 2 < / i n t > < / v a l u e > < / i t e m > < / C o l u m n W i d t h s > < C o l u m n D i s p l a y I n d e x > < i t e m > < k e y > < s t r i n g > E x e n d i t u r e < / s t r i n g > < / k e y > < v a l u e > < i n t > 0 < / i n t > < / v a l u e > < / i t e m > < i t e m > < k e y > < s t r i n g > B - J a n u a r y < / s t r i n g > < / k e y > < v a l u e > < i n t > 1 < / i n t > < / v a l u e > < / i t e m > < i t e m > < k e y > < s t r i n g > A - J a n u a r y < / s t r i n g > < / k e y > < v a l u e > < i n t > 2 < / i n t > < / v a l u e > < / i t e m > < i t e m > < k e y > < s t r i n g > B - F e b r u a r y < / s t r i n g > < / k e y > < v a l u e > < i n t > 3 < / i n t > < / v a l u e > < / i t e m > < i t e m > < k e y > < s t r i n g > A - F e b r u a r y < / s t r i n g > < / k e y > < v a l u e > < i n t > 4 < / i n t > < / v a l u e > < / i t e m > < i t e m > < k e y > < s t r i n g > B - M a r c h < / s t r i n g > < / k e y > < v a l u e > < i n t > 5 < / i n t > < / v a l u e > < / i t e m > < i t e m > < k e y > < s t r i n g > A - M a r c h < / s t r i n g > < / k e y > < v a l u e > < i n t > 6 < / i n t > < / v a l u e > < / i t e m > < i t e m > < k e y > < s t r i n g > B - A p r i l < / s t r i n g > < / k e y > < v a l u e > < i n t > 7 < / i n t > < / v a l u e > < / i t e m > < i t e m > < k e y > < s t r i n g > A - A p r i l < / s t r i n g > < / k e y > < v a l u e > < i n t > 8 < / i n t > < / v a l u e > < / i t e m > < i t e m > < k e y > < s t r i n g > B - M a y < / s t r i n g > < / k e y > < v a l u e > < i n t > 9 < / i n t > < / v a l u e > < / i t e m > < i t e m > < k e y > < s t r i n g > A - M a y < / s t r i n g > < / k e y > < v a l u e > < i n t > 1 0 < / i n t > < / v a l u e > < / i t e m > < i t e m > < k e y > < s t r i n g > B - J u n e < / s t r i n g > < / k e y > < v a l u e > < i n t > 1 1 < / i n t > < / v a l u e > < / i t e m > < i t e m > < k e y > < s t r i n g > A - J u n e < / s t r i n g > < / k e y > < v a l u e > < i n t > 1 2 < / i n t > < / v a l u e > < / i t e m > < i t e m > < k e y > < s t r i n g > B - J u l y < / s t r i n g > < / k e y > < v a l u e > < i n t > 1 3 < / i n t > < / v a l u e > < / i t e m > < i t e m > < k e y > < s t r i n g > A - J u l y < / s t r i n g > < / k e y > < v a l u e > < i n t > 1 4 < / i n t > < / v a l u e > < / i t e m > < i t e m > < k e y > < s t r i n g > B - A u g u s t < / s t r i n g > < / k e y > < v a l u e > < i n t > 1 5 < / i n t > < / v a l u e > < / i t e m > < i t e m > < k e y > < s t r i n g > A - A u g u s t < / s t r i n g > < / k e y > < v a l u e > < i n t > 1 6 < / i n t > < / v a l u e > < / i t e m > < i t e m > < k e y > < s t r i n g > B - S e p t e m b e r < / s t r i n g > < / k e y > < v a l u e > < i n t > 1 7 < / i n t > < / v a l u e > < / i t e m > < i t e m > < k e y > < s t r i n g > A - S e p t e m b e r < / s t r i n g > < / k e y > < v a l u e > < i n t > 1 8 < / i n t > < / v a l u e > < / i t e m > < i t e m > < k e y > < s t r i n g > B - O c t o b e r < / s t r i n g > < / k e y > < v a l u e > < i n t > 1 9 < / i n t > < / v a l u e > < / i t e m > < i t e m > < k e y > < s t r i n g > A - O c t o b e r < / s t r i n g > < / k e y > < v a l u e > < i n t > 2 0 < / i n t > < / v a l u e > < / i t e m > < i t e m > < k e y > < s t r i n g > B - N o v e m b e r < / s t r i n g > < / k e y > < v a l u e > < i n t > 2 1 < / i n t > < / v a l u e > < / i t e m > < i t e m > < k e y > < s t r i n g > A - N o v e m b e r < / s t r i n g > < / k e y > < v a l u e > < i n t > 2 2 < / i n t > < / v a l u e > < / i t e m > < i t e m > < k e y > < s t r i n g > B - D e c e m b e r < / s t r i n g > < / k e y > < v a l u e > < i n t > 2 3 < / i n t > < / v a l u e > < / i t e m > < i t e m > < k e y > < s t r i n g > A - D e c e m b e r < / s t r i n g > < / k e y > < v a l u e > < i n t > 2 4 < / i n t > < / v a l u e > < / i t e m > < i t e m > < k e y > < s t r i n g > B - T o t a l < / s t r i n g > < / k e y > < v a l u e > < i n t > 2 5 < / i n t > < / v a l u e > < / i t e m > < i t e m > < k e y > < s t r i n g > A - T o t a l < / s t r i n g > < / k e y > < v a l u e > < i n t > 2 6 < / 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S h o w I m p l i c i t M e a s u r e s " > < C u s t o m C o n t e n t > < ! [ C D A T A [ F a l s e ] ] > < / C u s t o m C o n t e n t > < / G e m i n i > 
</file>

<file path=customXml/item7.xml>��< ? x m l   v e r s i o n = " 1 . 0 "   e n c o d i n g = " U T F - 1 6 " ? > < G e m i n i   x m l n s = " h t t p : / / g e m i n i / p i v o t c u s t o m i z a t i o n / I s S a n d b o x E m b e d d e d " > < C u s t o m C o n t e n t > < ! [ C D A T A [ y e s ] ] > < / 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 E x p e n c e _ T a b l e < / 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 2 0 2 4 - 0 9 - 1 8 T 1 5 : 4 5 : 3 4 . 5 4 1 9 2 9 5 + 0 2 : 0 0 < / L a s t P r o c e s s e d T i m e > < / D a t a M o d e l i n g S a n d b o x . S e r i a l i z e d S a n d b o x E r r o r C a c h e > ] ] > < / C u s t o m C o n t e n t > < / G e m i n i > 
</file>

<file path=customXml/itemProps1.xml><?xml version="1.0" encoding="utf-8"?>
<ds:datastoreItem xmlns:ds="http://schemas.openxmlformats.org/officeDocument/2006/customXml" ds:itemID="{429D230E-7B52-4846-9137-70EBEA679766}">
  <ds:schemaRefs/>
</ds:datastoreItem>
</file>

<file path=customXml/itemProps10.xml><?xml version="1.0" encoding="utf-8"?>
<ds:datastoreItem xmlns:ds="http://schemas.openxmlformats.org/officeDocument/2006/customXml" ds:itemID="{E2584743-4A85-480F-99CA-E85A0DC91D21}">
  <ds:schemaRefs/>
</ds:datastoreItem>
</file>

<file path=customXml/itemProps11.xml><?xml version="1.0" encoding="utf-8"?>
<ds:datastoreItem xmlns:ds="http://schemas.openxmlformats.org/officeDocument/2006/customXml" ds:itemID="{E95CF0AB-0C9D-487C-A992-3BC2361418A9}">
  <ds:schemaRefs/>
</ds:datastoreItem>
</file>

<file path=customXml/itemProps12.xml><?xml version="1.0" encoding="utf-8"?>
<ds:datastoreItem xmlns:ds="http://schemas.openxmlformats.org/officeDocument/2006/customXml" ds:itemID="{48D8BB81-1921-410B-A7FE-230FE3D99491}">
  <ds:schemaRefs/>
</ds:datastoreItem>
</file>

<file path=customXml/itemProps13.xml><?xml version="1.0" encoding="utf-8"?>
<ds:datastoreItem xmlns:ds="http://schemas.openxmlformats.org/officeDocument/2006/customXml" ds:itemID="{28B55C05-7A38-4AA5-9ACE-A215C77E33B5}">
  <ds:schemaRefs/>
</ds:datastoreItem>
</file>

<file path=customXml/itemProps14.xml><?xml version="1.0" encoding="utf-8"?>
<ds:datastoreItem xmlns:ds="http://schemas.openxmlformats.org/officeDocument/2006/customXml" ds:itemID="{2F3893FD-CCB3-4913-9902-3B139DAD38C7}">
  <ds:schemaRefs/>
</ds:datastoreItem>
</file>

<file path=customXml/itemProps15.xml><?xml version="1.0" encoding="utf-8"?>
<ds:datastoreItem xmlns:ds="http://schemas.openxmlformats.org/officeDocument/2006/customXml" ds:itemID="{2933DA01-D632-4370-ABED-D9199531D856}">
  <ds:schemaRefs/>
</ds:datastoreItem>
</file>

<file path=customXml/itemProps16.xml><?xml version="1.0" encoding="utf-8"?>
<ds:datastoreItem xmlns:ds="http://schemas.openxmlformats.org/officeDocument/2006/customXml" ds:itemID="{3489BF97-B4F4-48E9-A9EF-30226E3038CA}">
  <ds:schemaRefs/>
</ds:datastoreItem>
</file>

<file path=customXml/itemProps17.xml><?xml version="1.0" encoding="utf-8"?>
<ds:datastoreItem xmlns:ds="http://schemas.openxmlformats.org/officeDocument/2006/customXml" ds:itemID="{EE217B2E-F69A-4F48-8026-D18A837D3F65}">
  <ds:schemaRefs/>
</ds:datastoreItem>
</file>

<file path=customXml/itemProps2.xml><?xml version="1.0" encoding="utf-8"?>
<ds:datastoreItem xmlns:ds="http://schemas.openxmlformats.org/officeDocument/2006/customXml" ds:itemID="{81F3C5C7-6E46-4C7D-8666-DE992F5FEF1A}">
  <ds:schemaRefs/>
</ds:datastoreItem>
</file>

<file path=customXml/itemProps3.xml><?xml version="1.0" encoding="utf-8"?>
<ds:datastoreItem xmlns:ds="http://schemas.openxmlformats.org/officeDocument/2006/customXml" ds:itemID="{13BF94EA-CB88-415C-846E-D8B7EAA56252}">
  <ds:schemaRefs/>
</ds:datastoreItem>
</file>

<file path=customXml/itemProps4.xml><?xml version="1.0" encoding="utf-8"?>
<ds:datastoreItem xmlns:ds="http://schemas.openxmlformats.org/officeDocument/2006/customXml" ds:itemID="{0CC5DAA9-43A4-474B-95A3-31842CB7662F}">
  <ds:schemaRefs/>
</ds:datastoreItem>
</file>

<file path=customXml/itemProps5.xml><?xml version="1.0" encoding="utf-8"?>
<ds:datastoreItem xmlns:ds="http://schemas.openxmlformats.org/officeDocument/2006/customXml" ds:itemID="{C189DFC1-ED39-45A7-BF4D-FBFD65068214}">
  <ds:schemaRefs/>
</ds:datastoreItem>
</file>

<file path=customXml/itemProps6.xml><?xml version="1.0" encoding="utf-8"?>
<ds:datastoreItem xmlns:ds="http://schemas.openxmlformats.org/officeDocument/2006/customXml" ds:itemID="{9EECDF5F-BDA8-4C61-B283-32CF3664E0B8}">
  <ds:schemaRefs/>
</ds:datastoreItem>
</file>

<file path=customXml/itemProps7.xml><?xml version="1.0" encoding="utf-8"?>
<ds:datastoreItem xmlns:ds="http://schemas.openxmlformats.org/officeDocument/2006/customXml" ds:itemID="{4D94EBBD-4263-4B6F-B4D1-50D7A9E545CD}">
  <ds:schemaRefs/>
</ds:datastoreItem>
</file>

<file path=customXml/itemProps8.xml><?xml version="1.0" encoding="utf-8"?>
<ds:datastoreItem xmlns:ds="http://schemas.openxmlformats.org/officeDocument/2006/customXml" ds:itemID="{39F5924A-7CD0-41E5-83F6-707DDBD35A1B}">
  <ds:schemaRefs/>
</ds:datastoreItem>
</file>

<file path=customXml/itemProps9.xml><?xml version="1.0" encoding="utf-8"?>
<ds:datastoreItem xmlns:ds="http://schemas.openxmlformats.org/officeDocument/2006/customXml" ds:itemID="{D5C3171D-9DC3-4D3B-AD05-6335398545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How to Use the Template</vt:lpstr>
      <vt:lpstr>Budget vs Actual</vt:lpstr>
      <vt:lpstr>Budget Analysis</vt:lpstr>
      <vt:lpstr>Personal Value</vt:lpstr>
      <vt:lpstr>Expence Analysis</vt:lpstr>
      <vt:lpstr>Loan Calculation</vt:lpstr>
      <vt:lpstr>Down_Pymt</vt:lpstr>
      <vt:lpstr>Down_Pymt.</vt:lpstr>
      <vt:lpstr>Loan_Amount</vt:lpstr>
      <vt:lpstr>Monthly_Payments</vt:lpstr>
      <vt:lpstr>Price</vt:lpstr>
      <vt:lpstr>Rate</vt:lpstr>
      <vt:lpstr>Term</vt:lpstr>
      <vt:lpstr>Total_Cost</vt:lpstr>
      <vt:lpstr>Total_Interest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Rukudzo -Eunoia Consultants Admin</dc:creator>
  <cp:lastModifiedBy>Rukudzo -Eunoia Consultants Admin</cp:lastModifiedBy>
  <dcterms:created xsi:type="dcterms:W3CDTF">2024-09-17T11:42:41Z</dcterms:created>
  <dcterms:modified xsi:type="dcterms:W3CDTF">2024-10-08T12:28:38Z</dcterms:modified>
</cp:coreProperties>
</file>